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<sst xmlns="http://schemas.openxmlformats.org/spreadsheetml/2006/main" count="1584" uniqueCount="460">
  <si>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</si>
  <si>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</si>
  <si>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</si>
  <si>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</si>
  <si>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</si>
  <si>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</si>
  <si>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</si>
  <si>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</si>
  <si>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</si>
  <si>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</si>
  <si>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</si>
  <si>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</si>
  <si>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</si>
  <si>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</si>
  <si>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</si>
  <si>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</si>
  <si>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</si>
  <si>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</si>
  <si>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</si>
  <si>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</si>
  <si>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</si>
  <si>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</si>
  <si>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</si>
  <si>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</si>
  <si>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</si>
  <si>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</si>
  <si>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</si>
  <si>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</si>
  <si>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</si>
  <si>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</si>
  <si>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</si>
  <si>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</si>
  <si>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</si>
  <si>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</si>
  <si>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</si>
  <si>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</si>
  <si>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</si>
  <si>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</si>
  <si>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</si>
  <si>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</si>
  <si>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</si>
  <si>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</si>
  <si>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</si>
  <si>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</si>
  <si>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</si>
  <si>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</si>
  <si>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</si>
  <si>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</si>
  <si>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</si>
  <si>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</si>
  <si>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</si>
  <si>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</si>
  <si>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</si>
  <si>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</si>
  <si>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</si>
  <si>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</si>
  <si>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</si>
  <si>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</si>
  <si>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</si>
  <si>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</si>
  <si>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</si>
  <si>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</si>
  <si>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</si>
  <si>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</si>
  <si>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</si>
  <si>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</si>
  <si>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</si>
  <si>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</si>
  <si>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</si>
  <si>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</si>
  <si>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</si>
  <si>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</si>
  <si>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</si>
  <si>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</si>
  <si>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</si>
  <si>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</si>
  <si>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</si>
  <si>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</si>
  <si>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</si>
  <si>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</si>
  <si>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</si>
  <si>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</si>
  <si>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</si>
  <si>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</si>
  <si>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</si>
  <si>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</si>
  <si>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</si>
  <si>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</si>
  <si>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</si>
  <si>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</si>
  <si>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</si>
  <si>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</si>
  <si>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</si>
  <si>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</si>
  <si>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</si>
  <si>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</si>
  <si>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</si>
  <si>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</si>
  <si>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</si>
  <si>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</si>
  <si>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</si>
  <si>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</si>
  <si>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</si>
  <si>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</si>
  <si>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</si>
  <si>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</si>
  <si>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Objekt</t>
  </si>
  <si>
    <t>IO2 01</t>
  </si>
  <si>
    <t>Kód</t>
  </si>
  <si>
    <t>115101301R00</t>
  </si>
  <si>
    <t>115101201R00</t>
  </si>
  <si>
    <t>119001421R00</t>
  </si>
  <si>
    <t>119001401R00</t>
  </si>
  <si>
    <t>113107241R00</t>
  </si>
  <si>
    <t>113107212R00</t>
  </si>
  <si>
    <t>113151314R00</t>
  </si>
  <si>
    <t>113106221R00</t>
  </si>
  <si>
    <t>121101101R00</t>
  </si>
  <si>
    <t>130001101R00</t>
  </si>
  <si>
    <t>133201101R00</t>
  </si>
  <si>
    <t>133301101R00</t>
  </si>
  <si>
    <t>133201109R00</t>
  </si>
  <si>
    <t>133301109R00</t>
  </si>
  <si>
    <t>132201212R00</t>
  </si>
  <si>
    <t>132301212R00</t>
  </si>
  <si>
    <t>132301209R00</t>
  </si>
  <si>
    <t>132201209R00</t>
  </si>
  <si>
    <t>132201111R00</t>
  </si>
  <si>
    <t>132301111R00</t>
  </si>
  <si>
    <t>132201109R00</t>
  </si>
  <si>
    <t>132301109R00</t>
  </si>
  <si>
    <t>132401201R00</t>
  </si>
  <si>
    <t>151101101R00</t>
  </si>
  <si>
    <t>151101111R00</t>
  </si>
  <si>
    <t>151101201R00</t>
  </si>
  <si>
    <t>151101211R00</t>
  </si>
  <si>
    <t>161101101R00</t>
  </si>
  <si>
    <t>162201102R00</t>
  </si>
  <si>
    <t>162701105R00</t>
  </si>
  <si>
    <t>162701109R00</t>
  </si>
  <si>
    <t>167101102R00</t>
  </si>
  <si>
    <t>167101151R00</t>
  </si>
  <si>
    <t>175101101RT2</t>
  </si>
  <si>
    <t>174101101R00</t>
  </si>
  <si>
    <t>171201201R00</t>
  </si>
  <si>
    <t>110000VD</t>
  </si>
  <si>
    <t>181301105R00</t>
  </si>
  <si>
    <t>180400020RA0</t>
  </si>
  <si>
    <t>212752112R00</t>
  </si>
  <si>
    <t>451572111R00</t>
  </si>
  <si>
    <t>564661111R00</t>
  </si>
  <si>
    <t>577112114R00</t>
  </si>
  <si>
    <t>577113124R00</t>
  </si>
  <si>
    <t>599142111R00</t>
  </si>
  <si>
    <t>591211111R00</t>
  </si>
  <si>
    <t>871311111R00</t>
  </si>
  <si>
    <t>871373121R00</t>
  </si>
  <si>
    <t>877373121R00</t>
  </si>
  <si>
    <t>895941311RT2</t>
  </si>
  <si>
    <t>899201111RT2</t>
  </si>
  <si>
    <t>894411121R00</t>
  </si>
  <si>
    <t>894118001R00</t>
  </si>
  <si>
    <t>899311113R00</t>
  </si>
  <si>
    <t>894432112R00</t>
  </si>
  <si>
    <t>899623181R00</t>
  </si>
  <si>
    <t>892581111R00</t>
  </si>
  <si>
    <t>892583111R00</t>
  </si>
  <si>
    <t>892571111R00</t>
  </si>
  <si>
    <t>892573111R00</t>
  </si>
  <si>
    <t>892233111R00</t>
  </si>
  <si>
    <t>919735113R00</t>
  </si>
  <si>
    <t>91111111VD</t>
  </si>
  <si>
    <t>969021131R00</t>
  </si>
  <si>
    <t>H22</t>
  </si>
  <si>
    <t>998225111R00</t>
  </si>
  <si>
    <t>998223011R00</t>
  </si>
  <si>
    <t>998225194R00</t>
  </si>
  <si>
    <t>H27</t>
  </si>
  <si>
    <t>998276101R00</t>
  </si>
  <si>
    <t>998276117R00</t>
  </si>
  <si>
    <t>S</t>
  </si>
  <si>
    <t>979083117R00</t>
  </si>
  <si>
    <t>979083191R00</t>
  </si>
  <si>
    <t>979990121R00</t>
  </si>
  <si>
    <t>001VD</t>
  </si>
  <si>
    <t>0012VD</t>
  </si>
  <si>
    <t>0013VD</t>
  </si>
  <si>
    <t>0014VD</t>
  </si>
  <si>
    <t>0015VD</t>
  </si>
  <si>
    <t>0016VD</t>
  </si>
  <si>
    <t>0017VD</t>
  </si>
  <si>
    <t>0018VD</t>
  </si>
  <si>
    <t>0019VD</t>
  </si>
  <si>
    <t>00110VD</t>
  </si>
  <si>
    <t>00111VD</t>
  </si>
  <si>
    <t>00112VD</t>
  </si>
  <si>
    <t>00113VD</t>
  </si>
  <si>
    <t>00114VD</t>
  </si>
  <si>
    <t>00115VD</t>
  </si>
  <si>
    <t>00116VD</t>
  </si>
  <si>
    <t>00117VD</t>
  </si>
  <si>
    <t>00118VD</t>
  </si>
  <si>
    <t>00119VD</t>
  </si>
  <si>
    <t>00120VD</t>
  </si>
  <si>
    <t>10121VD</t>
  </si>
  <si>
    <t>10122VD</t>
  </si>
  <si>
    <t>10123VD</t>
  </si>
  <si>
    <t>10124VD</t>
  </si>
  <si>
    <t>Rekonstrukce jednotné kan. stoky Fe, ul. Ant. Dvořáka, Kolín</t>
  </si>
  <si>
    <t>Rekonstrukce jednotné kan. stoky</t>
  </si>
  <si>
    <t>Kolín</t>
  </si>
  <si>
    <t>Zkrácený popis</t>
  </si>
  <si>
    <t>Rozměry</t>
  </si>
  <si>
    <t>Rekonstrukce jednotné kanalizační stoky</t>
  </si>
  <si>
    <t>Přípravné a přidružené práce</t>
  </si>
  <si>
    <t>Pohotovost čerp.soupravy, výška 10 m, přítok 500 l</t>
  </si>
  <si>
    <t>Čerpání vody na výšku do 10 m, přítok do 500 l</t>
  </si>
  <si>
    <t>Dočasné zajištění kabelů - do počtu 3 kabelů</t>
  </si>
  <si>
    <t>Dočasné zajištění ocelového potrubí do DN 200 mm</t>
  </si>
  <si>
    <t>Odstranění podkladu nad 200 m2, živičného tl.5 cm</t>
  </si>
  <si>
    <t>Odstranění podkladu nad 200 m2,kam.těžené tl.20 cm</t>
  </si>
  <si>
    <t>Frézování krytu nad 500 m2, s překážkami, tl.5 cm</t>
  </si>
  <si>
    <t>Rozebrání dlažeb z drobných kostek v kam. těženém</t>
  </si>
  <si>
    <t>Odkopávky a prokopávky</t>
  </si>
  <si>
    <t>Sejmutí ornice s přemístěním do 50 m</t>
  </si>
  <si>
    <t>Hloubené vykopávky</t>
  </si>
  <si>
    <t>Příplatek za ztížené hloubení v blízkosti vedení</t>
  </si>
  <si>
    <t>Hloubení šachet v hor.3 do 100 m3</t>
  </si>
  <si>
    <t>Hloubení šachet v hor.4 do 100 m3</t>
  </si>
  <si>
    <t>Příplatek za lepivost - hloubení šachet v hor.3</t>
  </si>
  <si>
    <t>Příplatek za lepivost - hloubení šachet v hor.4</t>
  </si>
  <si>
    <t>Hloubení rýh š.do 200 cm hor.3 do 1000m3,STROJNĚ</t>
  </si>
  <si>
    <t>Hloubení rýh š.do 200 cm hor.4 do 1000 m3, STROJNĚ</t>
  </si>
  <si>
    <t>Příplatek za lepivost - hloubení rýh 200cm v hor.4</t>
  </si>
  <si>
    <t>Příplatek za lepivost - hloubení rýh 200cm v hor.3</t>
  </si>
  <si>
    <t>Hloubení rýh š.do 60 cm v hor.3 do 100 m3, STROJNĚ</t>
  </si>
  <si>
    <t>Hloubení rýh š.do 60 cm v hor.4 do 100 m3,STROJNĚ</t>
  </si>
  <si>
    <t>Příplatek za lepivost - hloubení rýh 60 cm v hor.3</t>
  </si>
  <si>
    <t>Příplatek za lepivost - hloubení rýh 60 cm v hor.4</t>
  </si>
  <si>
    <t>Hloubení rýh šířky do 200 cm v hor.5</t>
  </si>
  <si>
    <t>Roubení</t>
  </si>
  <si>
    <t>Pažení a rozepření stěn rýh - příložné - hl. do 2m</t>
  </si>
  <si>
    <t>Odstranění pažení stěn rýh - příložné - hl. do 2 m</t>
  </si>
  <si>
    <t>Pažení stěn výkopu - příložné - hloubky do 4 m</t>
  </si>
  <si>
    <t>Odstranění pažení stěn - příložné - hl. do 4 m</t>
  </si>
  <si>
    <t>Přemístění výkopku</t>
  </si>
  <si>
    <t>Svislé přemístění výkopku z hor.1-4 do 2,5 m</t>
  </si>
  <si>
    <t>Vodorovné přemístění výkopku z hor.1-4 do 50 m</t>
  </si>
  <si>
    <t>Vodorovné přemístění výkopku z hor.1-4 do 10000 m</t>
  </si>
  <si>
    <t>Příplatek k vod. přemístění hor.1-4 za další 1 km</t>
  </si>
  <si>
    <t>Nakládání výkopku z hor.1-4 v množství nad 100 m3</t>
  </si>
  <si>
    <t>Nakládání výkopku z hor.5-7 v množství do 100 m3</t>
  </si>
  <si>
    <t>Konstrukce ze zemin</t>
  </si>
  <si>
    <t>Obsyp potrubí bez prohození sypaniny</t>
  </si>
  <si>
    <t>Zásyp jam, rýh, šachet se zhutněním</t>
  </si>
  <si>
    <t>Uložení sypaniny na skl.-modelace na výšku přes 2m</t>
  </si>
  <si>
    <t>Zkouška zhutnění - statická min. 45 MPa</t>
  </si>
  <si>
    <t>Povrchové úpravy terénu</t>
  </si>
  <si>
    <t>Rozprostření ornice, rovina, tl. 25-30 cm,do 500m2</t>
  </si>
  <si>
    <t>Založení trávníku parkového, rovina, dodání osiva</t>
  </si>
  <si>
    <t>Úprava podloží a základové spáry</t>
  </si>
  <si>
    <t>Trativody z drenážních trubek, lože, DN 100 mm</t>
  </si>
  <si>
    <t>Podkladní a vedlejší konstrukce (kromě vozovek a železničního svršku)</t>
  </si>
  <si>
    <t>Lože pod potrubí z kameniva těženého 0 - 4 mm</t>
  </si>
  <si>
    <t>Podkladní vrstvy komunikací a zpevněných ploch</t>
  </si>
  <si>
    <t>Podklad z kameniva drceného 63-125 mm, tl. 20 cm</t>
  </si>
  <si>
    <t>Kryty štěrkových a živičných pozemních komunikací a zpevněných ploch</t>
  </si>
  <si>
    <t>Beton asfalt. ACO 11 S modifik. š. do 3 m, tl.5 cm</t>
  </si>
  <si>
    <t>Beton asfalt. ACO 16 S modif.obrus. š.nad 3 m,5 cm</t>
  </si>
  <si>
    <t>Dlažby a předlažby pozemních komunikací a zpevněných ploch</t>
  </si>
  <si>
    <t>Úprava zálivky dil.spár hloubky do 4 cm š. do 4 cm</t>
  </si>
  <si>
    <t>Kladení dlažby drobné kostky,lože z kamen.tl. 5 cm</t>
  </si>
  <si>
    <t>Potrubí z trub plastických, skleněných a čedičových</t>
  </si>
  <si>
    <t>Montáž trubek z tvrdého PVC ve výkopu d 160 mm</t>
  </si>
  <si>
    <t>Montáž trub z plastu, gumový kroužek, DN 300</t>
  </si>
  <si>
    <t>Montáž tvarovek odboč. plast. gum. kroužek DN 300</t>
  </si>
  <si>
    <t>Ostatní konstrukce a práce na trubním vedení</t>
  </si>
  <si>
    <t>Zřízení vpusti uliční z dílců typ UVB - 50-včetně dodávky dílců pro uliční vpusti TBV</t>
  </si>
  <si>
    <t>Osazení mříží litinových s rámem do 50 kg-včetně dodání mříže lehké s rámem 300 x 300</t>
  </si>
  <si>
    <t>Zřízení šachet z dílců, dno C25/30, potrubí DN 300</t>
  </si>
  <si>
    <t>Příplatek za dalších 0,60 m výšky vstupu</t>
  </si>
  <si>
    <t>Osazení poklopů litinových s rámem do 150 kg</t>
  </si>
  <si>
    <t>Osazení plastové šachty revizní prům.400 mm</t>
  </si>
  <si>
    <t>Vyplnění stávajícího potrubí a zazdění stávajícího vtoku betonem B 10</t>
  </si>
  <si>
    <t>Zkouška těsnosti kanalizace DN do 300, vodou</t>
  </si>
  <si>
    <t>Zabezpečení konců kanal. potrubí DN do 300, vodou</t>
  </si>
  <si>
    <t>Zkouška těsnosti kanalizace DN do 200, vodou</t>
  </si>
  <si>
    <t>Zabezpečení konců kanal. potrubí DN do 200, vodou</t>
  </si>
  <si>
    <t>Kamerová prohlídka stok</t>
  </si>
  <si>
    <t>Doplňující konstrukce a práce na pozemních komunikacích a zpevněných plochách</t>
  </si>
  <si>
    <t>Řezání stávajícího živičného krytu tl. 10 - 15 cm</t>
  </si>
  <si>
    <t>Dopravní značení</t>
  </si>
  <si>
    <t>Bourání konstrukcí</t>
  </si>
  <si>
    <t>Vybourání kanalizačního potrubí DN do 300 mm vč. stáv. přípojek a revizních šachet</t>
  </si>
  <si>
    <t>Komunikace pozemní a letiště</t>
  </si>
  <si>
    <t>Přesun hmot, pozemní komunikace, kryt živičný</t>
  </si>
  <si>
    <t>Přesun hmot, pozemní komunikace, kryt dlážděný</t>
  </si>
  <si>
    <t>Přesun hmot, komunikace živičné, příplatek do 5 km</t>
  </si>
  <si>
    <t>Vedení trubní dálková a přípojná</t>
  </si>
  <si>
    <t>Přesun hmot, trubní vedení plastová, otevř. výkop</t>
  </si>
  <si>
    <t>Přesun hmot, trubní vedení plastová, příplatek 3km</t>
  </si>
  <si>
    <t>Přesuny sutí</t>
  </si>
  <si>
    <t>Vodorovné přemístění suti na skládku do 6000 m</t>
  </si>
  <si>
    <t>Příplatek za dalších 8000 m</t>
  </si>
  <si>
    <t>Poplatek za skládku suti vč. vybouraného potrubí</t>
  </si>
  <si>
    <t>Ostatní materiál</t>
  </si>
  <si>
    <t>Šachtové dno TBZ-Q.1 1000/900/220</t>
  </si>
  <si>
    <t>Šachtové dno TBZ-Q.1 1000/500/150</t>
  </si>
  <si>
    <t>Těsnění skružové pro DN 1000 Q.1</t>
  </si>
  <si>
    <t>Šachtová skruž TBS-Q.1 1000/250/120 OS</t>
  </si>
  <si>
    <t>Šachtová skruž TBS-Q.1 1000/500/120 OS</t>
  </si>
  <si>
    <t>Šachtový kónus TBR-Q.1 1000/625/600/120 OKS</t>
  </si>
  <si>
    <t>Vyrovnávací prstenec TBV-Q.1 625/120/120</t>
  </si>
  <si>
    <t>Vyrovnávací prstenec TBV-Q.1 625/100/120</t>
  </si>
  <si>
    <t>Vyrovnávací prstenec TBV-Q.1 625/80/120</t>
  </si>
  <si>
    <t>Vyrovnávací prstenec TBV-Q.1 625/60/120</t>
  </si>
  <si>
    <t>Revizní šachta 400/150 vč. poklopu B 12,5 t</t>
  </si>
  <si>
    <t>Revizní šachta 400/200 vč. poklopu B 12,5 t</t>
  </si>
  <si>
    <t>Potrubí PP žebrované SN 10 DIN 335/300 (6 m)</t>
  </si>
  <si>
    <t>Potrubí PVC SN 8, DN 200 (3 m)</t>
  </si>
  <si>
    <t>Potrubí PVC SN 8, DN 150 (3 m)</t>
  </si>
  <si>
    <t>Odbočka 300/150 UREA/KG</t>
  </si>
  <si>
    <t>Odbočka 300/200 UREA/KG</t>
  </si>
  <si>
    <t>Uliční vpust komplet</t>
  </si>
  <si>
    <t>Lapač střešních splavenin</t>
  </si>
  <si>
    <t>Redukce PVC 150/100</t>
  </si>
  <si>
    <t>Koleno PVC DN 100 87°</t>
  </si>
  <si>
    <t>Štěrkopísek</t>
  </si>
  <si>
    <t>Doba výstavby:</t>
  </si>
  <si>
    <t>Začátek výstavby:</t>
  </si>
  <si>
    <t>Konec výstavby:</t>
  </si>
  <si>
    <t>Zpracováno dne:</t>
  </si>
  <si>
    <t>M.j.</t>
  </si>
  <si>
    <t>den</t>
  </si>
  <si>
    <t>h</t>
  </si>
  <si>
    <t>m</t>
  </si>
  <si>
    <t>m2</t>
  </si>
  <si>
    <t>m3</t>
  </si>
  <si>
    <t>kus</t>
  </si>
  <si>
    <t>úsek</t>
  </si>
  <si>
    <t>sada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</si>
  <si>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</si>
  <si>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</si>
  <si>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</si>
  <si>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</si>
  <si>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</si>
  <si>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</si>
  <si>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</si>
  <si>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</si>
  <si>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</si>
  <si>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</si>
  <si>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</si>
  <si>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</si>
  <si>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</t>
  </si>
  <si>
    <t>Vodos s.r.o.</t>
  </si>
  <si>
    <t>Trnková</t>
  </si>
  <si>
    <t>Celkem</t>
  </si>
  <si>
    <t>Hmotnost (t)</t>
  </si>
  <si>
    <t>Cenová</t>
  </si>
  <si>
    <t>soustava</t>
  </si>
  <si>
    <t>RTS I / 2013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</si>
  <si>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</si>
  <si>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</si>
  <si>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</si>
  <si>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</si>
  <si>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</si>
  <si>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</si>
  <si>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</si>
  <si>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</si>
  <si>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</si>
  <si>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</si>
  <si>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</si>
  <si>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</si>
  <si>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</si>
  <si>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</si>
  <si>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4*1+26*0,6</t>
  </si>
  <si>
    <t>7*1+26*0,6</t>
  </si>
  <si>
    <t>58*0,6+156*1</t>
  </si>
  <si>
    <t>156*6</t>
  </si>
  <si>
    <t>56,6*0,6</t>
  </si>
  <si>
    <t>12,5*0,6*0,3</t>
  </si>
  <si>
    <t>11*1*2,2*2+35*0,6*1,5*2</t>
  </si>
  <si>
    <t>(2,5*2,5*(2,2-0,3)*5)*0,5</t>
  </si>
  <si>
    <t>(1*(154-5*2,5)*(2,2-0,3))*0,5</t>
  </si>
  <si>
    <t>(134-(20*0,5)*(1,5-0,3)*0,6)*0,5</t>
  </si>
  <si>
    <t>134*1,5*2</t>
  </si>
  <si>
    <t>154*2,2*2</t>
  </si>
  <si>
    <t>(134-(20*0,5)*(1,5-0,3)*0,6)+(1*(154-5*2,5)*(2,2-0,3))+(2,5*2,5*(2,2-0,3)*5)</t>
  </si>
  <si>
    <t>(154-5*2,5)*1*1,2</t>
  </si>
  <si>
    <t>(134-20*0,5)*0,6*0,65</t>
  </si>
  <si>
    <t>5*2,5*2,5-3,14*0,5*0,5*1,9</t>
  </si>
  <si>
    <t>207,11</t>
  </si>
  <si>
    <t>(154-5*2,5)*1*0,6-3,14*0,15*0,15*(154-5*2,5)</t>
  </si>
  <si>
    <t>(134-20*0,5)*0,6*0,45-3,14*0,075*0,075*(134-20*0,5)</t>
  </si>
  <si>
    <t>(2,5*2,5*(2,2-0,3)*5)</t>
  </si>
  <si>
    <t>(1*(154-5*2,5)*(2,2-0,3))</t>
  </si>
  <si>
    <t>(134-(20*0,5)*(1,5-0,3)*0,6)</t>
  </si>
  <si>
    <t>-247,92</t>
  </si>
  <si>
    <t>12,5*0,6</t>
  </si>
  <si>
    <t>154</t>
  </si>
  <si>
    <t>154*1*0,1+134*0,6*0,1</t>
  </si>
  <si>
    <t>134*1,093</t>
  </si>
  <si>
    <t>154*1,093</t>
  </si>
  <si>
    <t>134</t>
  </si>
  <si>
    <t>2*6</t>
  </si>
  <si>
    <t>154+134</t>
  </si>
  <si>
    <t>219,6219</t>
  </si>
  <si>
    <t>3,7356</t>
  </si>
  <si>
    <t>493,2631</t>
  </si>
  <si>
    <t>218,55865</t>
  </si>
  <si>
    <t>(154*1,093)/6</t>
  </si>
  <si>
    <t>(9*1,093)/3</t>
  </si>
  <si>
    <t>(134*1,093)/3</t>
  </si>
  <si>
    <t>106,19*1,83</t>
  </si>
  <si>
    <t>Cenová soustava</t>
  </si>
  <si>
    <t>s dodáním štěrkopísku frakce 0 - 22 mm</t>
  </si>
  <si>
    <t>včetně dodávky dílců pro uliční vpusti TBV</t>
  </si>
  <si>
    <t>včetně dodání mříže lehké s rámem 300 x 300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</si>
  <si>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</si>
  <si>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</si>
  <si>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</si>
  <si>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</si>
  <si>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</si>
  <si>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</si>
  <si>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</si>
  <si>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</si>
  <si>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</si>
  <si>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</si>
  <si>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</si>
  <si>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</si>
  <si>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</si>
  <si>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</si>
  <si>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</si>
  <si>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</si>
  <si>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Geodet.zam.skut.prov</t>
  </si>
  <si>
    <t>Dokum.skut.provedení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</si>
  <si>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</si>
  <si>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</si>
  <si>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</si>
  <si>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</si>
  <si>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</si>
  <si>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</si>
  <si>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</si>
  <si>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</si>
  <si>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</si>
  <si>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</si>
  <si>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</si>
  <si>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</si>
  <si>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</si>
  <si>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</si>
  <si>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</si>
  <si>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</si>
  <si>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</si>
  <si>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</si>
  <si>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</si>
  <si>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</si>
  <si>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</si>
  <si>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Šachtový poklop tř. D400 celolitinový včetně kloubu s rámem,  bez odv.</t>
  </si>
  <si>
    <t>Šachtový poklop tř. D400 celolitinový včetně kloubu s rámem,  s odvětr.</t>
  </si>
  <si>
    <t>Šachtový poklop tř. D400 celolitinový včetně kloubu s rámem,  bez odvětr.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</si>
</sst>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49" fontId="10" fillId="0" borderId="29" xfId="0" applyNumberFormat="1" applyFont="1" applyFill="1" applyBorder="1" applyAlignment="1" applyProtection="1">
      <alignment horizontal="right" vertical="center"/>
      <protection/>
    </xf>
    <xf numFmtId="4" fontId="9" fillId="33" borderId="35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46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  <xf numFmtId="49" fontId="9" fillId="33" borderId="50" xfId="0" applyNumberFormat="1" applyFont="1" applyFill="1" applyBorder="1" applyAlignment="1" applyProtection="1">
      <alignment horizontal="left" vertical="center"/>
      <protection/>
    </xf>
    <xf numFmtId="0" fontId="9" fillId="33" borderId="32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2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4.57421875" style="0" customWidth="1"/>
    <col min="5" max="5" width="4.8515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2.75">
      <c r="A2" s="78" t="s">
        <v>1</v>
      </c>
      <c r="B2" s="79"/>
      <c r="C2" s="79"/>
      <c r="D2" s="80" t="s">
        <v>208</v>
      </c>
      <c r="E2" s="82" t="s">
        <v>328</v>
      </c>
      <c r="F2" s="79"/>
      <c r="G2" s="82"/>
      <c r="H2" s="79"/>
      <c r="I2" s="83" t="s">
        <v>348</v>
      </c>
      <c r="J2" s="83" t="s">
        <v>353</v>
      </c>
      <c r="K2" s="79"/>
      <c r="L2" s="79"/>
      <c r="M2" s="84"/>
      <c r="N2" s="30"/>
    </row>
    <row r="3" spans="1:14" ht="12.75">
      <c r="A3" s="75"/>
      <c r="B3" s="67"/>
      <c r="C3" s="67"/>
      <c r="D3" s="81"/>
      <c r="E3" s="67"/>
      <c r="F3" s="67"/>
      <c r="G3" s="67"/>
      <c r="H3" s="67"/>
      <c r="I3" s="67"/>
      <c r="J3" s="67"/>
      <c r="K3" s="67"/>
      <c r="L3" s="67"/>
      <c r="M3" s="73"/>
      <c r="N3" s="30"/>
    </row>
    <row r="4" spans="1:14" ht="12.75">
      <c r="A4" s="66" t="s">
        <v>2</v>
      </c>
      <c r="B4" s="67"/>
      <c r="C4" s="67"/>
      <c r="D4" s="70" t="s">
        <v>209</v>
      </c>
      <c r="E4" s="71" t="s">
        <v>329</v>
      </c>
      <c r="F4" s="67"/>
      <c r="G4" s="71" t="s">
        <v>6</v>
      </c>
      <c r="H4" s="67"/>
      <c r="I4" s="70" t="s">
        <v>349</v>
      </c>
      <c r="J4" s="70" t="s">
        <v>354</v>
      </c>
      <c r="K4" s="67"/>
      <c r="L4" s="67"/>
      <c r="M4" s="73"/>
      <c r="N4" s="30"/>
    </row>
    <row r="5" spans="1:14" ht="12.75">
      <c r="A5" s="75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3"/>
      <c r="N5" s="30"/>
    </row>
    <row r="6" spans="1:14" ht="12.75">
      <c r="A6" s="66" t="s">
        <v>3</v>
      </c>
      <c r="B6" s="67"/>
      <c r="C6" s="67"/>
      <c r="D6" s="70" t="s">
        <v>210</v>
      </c>
      <c r="E6" s="71" t="s">
        <v>330</v>
      </c>
      <c r="F6" s="67"/>
      <c r="G6" s="67"/>
      <c r="H6" s="67"/>
      <c r="I6" s="70" t="s">
        <v>350</v>
      </c>
      <c r="J6" s="70"/>
      <c r="K6" s="67"/>
      <c r="L6" s="67"/>
      <c r="M6" s="73"/>
      <c r="N6" s="30"/>
    </row>
    <row r="7" spans="1:14" ht="12.75">
      <c r="A7" s="75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3"/>
      <c r="N7" s="30"/>
    </row>
    <row r="8" spans="1:14" ht="12.75">
      <c r="A8" s="66" t="s">
        <v>4</v>
      </c>
      <c r="B8" s="67"/>
      <c r="C8" s="67"/>
      <c r="D8" s="70"/>
      <c r="E8" s="71" t="s">
        <v>331</v>
      </c>
      <c r="F8" s="67"/>
      <c r="G8" s="72">
        <v>41737</v>
      </c>
      <c r="H8" s="67"/>
      <c r="I8" s="70" t="s">
        <v>351</v>
      </c>
      <c r="J8" s="70" t="s">
        <v>355</v>
      </c>
      <c r="K8" s="67"/>
      <c r="L8" s="67"/>
      <c r="M8" s="73"/>
      <c r="N8" s="30"/>
    </row>
    <row r="9" spans="1:14" ht="12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4"/>
      <c r="N9" s="30"/>
    </row>
    <row r="10" spans="1:14" ht="12.75">
      <c r="A10" s="1" t="s">
        <v>5</v>
      </c>
      <c r="B10" s="9" t="s">
        <v>106</v>
      </c>
      <c r="C10" s="9" t="s">
        <v>108</v>
      </c>
      <c r="D10" s="9" t="s">
        <v>211</v>
      </c>
      <c r="E10" s="9" t="s">
        <v>332</v>
      </c>
      <c r="F10" s="14" t="s">
        <v>342</v>
      </c>
      <c r="G10" s="18" t="s">
        <v>343</v>
      </c>
      <c r="H10" s="61" t="s">
        <v>345</v>
      </c>
      <c r="I10" s="62"/>
      <c r="J10" s="63"/>
      <c r="K10" s="61" t="s">
        <v>357</v>
      </c>
      <c r="L10" s="63"/>
      <c r="M10" s="25" t="s">
        <v>358</v>
      </c>
      <c r="N10" s="31"/>
    </row>
    <row r="11" spans="1:24" ht="12.75">
      <c r="A11" s="2" t="s">
        <v>6</v>
      </c>
      <c r="B11" s="10" t="s">
        <v>6</v>
      </c>
      <c r="C11" s="10" t="s">
        <v>6</v>
      </c>
      <c r="D11" s="13" t="s">
        <v>212</v>
      </c>
      <c r="E11" s="10" t="s">
        <v>6</v>
      </c>
      <c r="F11" s="10" t="s">
        <v>6</v>
      </c>
      <c r="G11" s="19" t="s">
        <v>344</v>
      </c>
      <c r="H11" s="20" t="s">
        <v>346</v>
      </c>
      <c r="I11" s="21" t="s">
        <v>352</v>
      </c>
      <c r="J11" s="22" t="s">
        <v>356</v>
      </c>
      <c r="K11" s="20" t="s">
        <v>343</v>
      </c>
      <c r="L11" s="22" t="s">
        <v>356</v>
      </c>
      <c r="M11" s="26" t="s">
        <v>359</v>
      </c>
      <c r="N11" s="31"/>
      <c r="P11" s="24" t="s">
        <v>362</v>
      </c>
      <c r="Q11" s="24" t="s">
        <v>363</v>
      </c>
      <c r="R11" s="24" t="s">
        <v>367</v>
      </c>
      <c r="S11" s="24" t="s">
        <v>368</v>
      </c>
      <c r="T11" s="24" t="s">
        <v>369</v>
      </c>
      <c r="U11" s="24" t="s">
        <v>370</v>
      </c>
      <c r="V11" s="24" t="s">
        <v>371</v>
      </c>
      <c r="W11" s="24" t="s">
        <v>372</v>
      </c>
      <c r="X11" s="24" t="s">
        <v>373</v>
      </c>
    </row>
    <row r="12" spans="1:13" ht="12.75">
      <c r="A12" s="3"/>
      <c r="B12" s="11" t="s">
        <v>107</v>
      </c>
      <c r="C12" s="11"/>
      <c r="D12" s="64" t="s">
        <v>213</v>
      </c>
      <c r="E12" s="65"/>
      <c r="F12" s="65"/>
      <c r="G12" s="65"/>
      <c r="H12" s="33">
        <f>H13+H22+H24+H39+H44+H54+H59+H62+H64+H66+H68+H71+H74+H78+H91+H94+H96+H100+H103+H107</f>
        <v>0</v>
      </c>
      <c r="I12" s="33">
        <f>I13+I22+I24+I39+I44+I54+I59+I62+I64+I66+I68+I71+I74+I78+I91+I94+I96+I100+I103+I107</f>
        <v>0</v>
      </c>
      <c r="J12" s="33">
        <f>H12+I12</f>
        <v>0</v>
      </c>
      <c r="K12" s="23"/>
      <c r="L12" s="33">
        <f>L13+L22+L24+L39+L44+L54+L59+L62+L64+L66+L68+L71+L74+L78+L91+L94+L96+L100+L103+L107</f>
        <v>935.1770462</v>
      </c>
      <c r="M12" s="23"/>
    </row>
    <row r="13" spans="1:37" ht="12.75">
      <c r="A13" s="4"/>
      <c r="B13" s="12" t="s">
        <v>107</v>
      </c>
      <c r="C13" s="12" t="s">
        <v>17</v>
      </c>
      <c r="D13" s="57" t="s">
        <v>214</v>
      </c>
      <c r="E13" s="58"/>
      <c r="F13" s="58"/>
      <c r="G13" s="58"/>
      <c r="H13" s="34">
        <f>SUM(H14:H21)</f>
        <v>0</v>
      </c>
      <c r="I13" s="34">
        <f>SUM(I14:I21)</f>
        <v>0</v>
      </c>
      <c r="J13" s="34">
        <f>H13+I13</f>
        <v>0</v>
      </c>
      <c r="K13" s="24"/>
      <c r="L13" s="34">
        <f>SUM(L14:L21)</f>
        <v>191.772482</v>
      </c>
      <c r="M13" s="24"/>
      <c r="P13" s="34">
        <f>IF(Q13="PR",J13,SUM(O14:O21))</f>
        <v>0</v>
      </c>
      <c r="Q13" s="24" t="s">
        <v>364</v>
      </c>
      <c r="R13" s="34">
        <f>IF(Q13="HS",H13,0)</f>
        <v>0</v>
      </c>
      <c r="S13" s="34">
        <f>IF(Q13="HS",I13-P13,0)</f>
        <v>0</v>
      </c>
      <c r="T13" s="34">
        <f>IF(Q13="PS",H13,0)</f>
        <v>0</v>
      </c>
      <c r="U13" s="34">
        <f>IF(Q13="PS",I13-P13,0)</f>
        <v>0</v>
      </c>
      <c r="V13" s="34">
        <f>IF(Q13="MP",H13,0)</f>
        <v>0</v>
      </c>
      <c r="W13" s="34">
        <f>IF(Q13="MP",I13-P13,0)</f>
        <v>0</v>
      </c>
      <c r="X13" s="34">
        <f>IF(Q13="OM",H13,0)</f>
        <v>0</v>
      </c>
      <c r="Y13" s="24" t="s">
        <v>107</v>
      </c>
      <c r="AI13" s="34">
        <f>SUM(Z14:Z21)</f>
        <v>0</v>
      </c>
      <c r="AJ13" s="34">
        <f>SUM(AA14:AA21)</f>
        <v>0</v>
      </c>
      <c r="AK13" s="34">
        <f>SUM(AB14:AB21)</f>
        <v>0</v>
      </c>
    </row>
    <row r="14" spans="1:32" ht="12.75">
      <c r="A14" s="5" t="s">
        <v>7</v>
      </c>
      <c r="B14" s="5" t="s">
        <v>107</v>
      </c>
      <c r="C14" s="5" t="s">
        <v>109</v>
      </c>
      <c r="D14" s="5" t="s">
        <v>215</v>
      </c>
      <c r="E14" s="5" t="s">
        <v>333</v>
      </c>
      <c r="F14" s="15">
        <v>10</v>
      </c>
      <c r="G14" s="15"/>
      <c r="H14" s="15">
        <f aca="true" t="shared" si="0" ref="H14:H21">ROUND(F14*AE14,2)</f>
        <v>0</v>
      </c>
      <c r="I14" s="15">
        <f aca="true" t="shared" si="1" ref="I14:I21">J14-H14</f>
        <v>0</v>
      </c>
      <c r="J14" s="15">
        <f aca="true" t="shared" si="2" ref="J14:J21">ROUND(F14*G14,2)</f>
        <v>0</v>
      </c>
      <c r="K14" s="15">
        <v>0</v>
      </c>
      <c r="L14" s="15">
        <f aca="true" t="shared" si="3" ref="L14:L21">F14*K14</f>
        <v>0</v>
      </c>
      <c r="M14" s="27" t="s">
        <v>360</v>
      </c>
      <c r="N14" s="27" t="s">
        <v>7</v>
      </c>
      <c r="O14" s="15">
        <f aca="true" t="shared" si="4" ref="O14:O21">IF(N14="5",I14,0)</f>
        <v>0</v>
      </c>
      <c r="Z14" s="15">
        <f aca="true" t="shared" si="5" ref="Z14:Z21">IF(AD14=0,J14,0)</f>
        <v>0</v>
      </c>
      <c r="AA14" s="15">
        <f aca="true" t="shared" si="6" ref="AA14:AA21">IF(AD14=15,J14,0)</f>
        <v>0</v>
      </c>
      <c r="AB14" s="15">
        <f aca="true" t="shared" si="7" ref="AB14:AB21">IF(AD14=21,J14,0)</f>
        <v>0</v>
      </c>
      <c r="AD14" s="32">
        <v>21</v>
      </c>
      <c r="AE14" s="32">
        <f>G14*0</f>
        <v>0</v>
      </c>
      <c r="AF14" s="32">
        <f>G14*(1-0)</f>
        <v>0</v>
      </c>
    </row>
    <row r="15" spans="1:32" ht="12.75">
      <c r="A15" s="5" t="s">
        <v>8</v>
      </c>
      <c r="B15" s="5" t="s">
        <v>107</v>
      </c>
      <c r="C15" s="5" t="s">
        <v>110</v>
      </c>
      <c r="D15" s="5" t="s">
        <v>216</v>
      </c>
      <c r="E15" s="5" t="s">
        <v>334</v>
      </c>
      <c r="F15" s="15">
        <v>15</v>
      </c>
      <c r="G15" s="15"/>
      <c r="H15" s="15">
        <f t="shared" si="0"/>
        <v>0</v>
      </c>
      <c r="I15" s="15">
        <f t="shared" si="1"/>
        <v>0</v>
      </c>
      <c r="J15" s="15">
        <f t="shared" si="2"/>
        <v>0</v>
      </c>
      <c r="K15" s="15">
        <v>0</v>
      </c>
      <c r="L15" s="15">
        <f t="shared" si="3"/>
        <v>0</v>
      </c>
      <c r="M15" s="27" t="s">
        <v>360</v>
      </c>
      <c r="N15" s="27" t="s">
        <v>7</v>
      </c>
      <c r="O15" s="15">
        <f t="shared" si="4"/>
        <v>0</v>
      </c>
      <c r="Z15" s="15">
        <f t="shared" si="5"/>
        <v>0</v>
      </c>
      <c r="AA15" s="15">
        <f t="shared" si="6"/>
        <v>0</v>
      </c>
      <c r="AB15" s="15">
        <f t="shared" si="7"/>
        <v>0</v>
      </c>
      <c r="AD15" s="32">
        <v>21</v>
      </c>
      <c r="AE15" s="32">
        <f>G15*0</f>
        <v>0</v>
      </c>
      <c r="AF15" s="32">
        <f>G15*(1-0)</f>
        <v>0</v>
      </c>
    </row>
    <row r="16" spans="1:32" ht="12.75">
      <c r="A16" s="5" t="s">
        <v>9</v>
      </c>
      <c r="B16" s="5" t="s">
        <v>107</v>
      </c>
      <c r="C16" s="5" t="s">
        <v>111</v>
      </c>
      <c r="D16" s="5" t="s">
        <v>217</v>
      </c>
      <c r="E16" s="5" t="s">
        <v>335</v>
      </c>
      <c r="F16" s="15">
        <v>19.6</v>
      </c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15">
        <v>0.02478</v>
      </c>
      <c r="L16" s="15">
        <f t="shared" si="3"/>
        <v>0.485688</v>
      </c>
      <c r="M16" s="27" t="s">
        <v>360</v>
      </c>
      <c r="N16" s="27" t="s">
        <v>7</v>
      </c>
      <c r="O16" s="15">
        <f t="shared" si="4"/>
        <v>0</v>
      </c>
      <c r="Z16" s="15">
        <f t="shared" si="5"/>
        <v>0</v>
      </c>
      <c r="AA16" s="15">
        <f t="shared" si="6"/>
        <v>0</v>
      </c>
      <c r="AB16" s="15">
        <f t="shared" si="7"/>
        <v>0</v>
      </c>
      <c r="AD16" s="32">
        <v>21</v>
      </c>
      <c r="AE16" s="32">
        <f>G16*0.376918979127318</f>
        <v>0</v>
      </c>
      <c r="AF16" s="32">
        <f>G16*(1-0.376918979127318)</f>
        <v>0</v>
      </c>
    </row>
    <row r="17" spans="1:32" ht="12.75">
      <c r="A17" s="5" t="s">
        <v>10</v>
      </c>
      <c r="B17" s="5" t="s">
        <v>107</v>
      </c>
      <c r="C17" s="5" t="s">
        <v>112</v>
      </c>
      <c r="D17" s="5" t="s">
        <v>218</v>
      </c>
      <c r="E17" s="5" t="s">
        <v>335</v>
      </c>
      <c r="F17" s="15">
        <v>22.6</v>
      </c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v>0.00869</v>
      </c>
      <c r="L17" s="15">
        <f t="shared" si="3"/>
        <v>0.196394</v>
      </c>
      <c r="M17" s="27" t="s">
        <v>360</v>
      </c>
      <c r="N17" s="27" t="s">
        <v>7</v>
      </c>
      <c r="O17" s="15">
        <f t="shared" si="4"/>
        <v>0</v>
      </c>
      <c r="Z17" s="15">
        <f t="shared" si="5"/>
        <v>0</v>
      </c>
      <c r="AA17" s="15">
        <f t="shared" si="6"/>
        <v>0</v>
      </c>
      <c r="AB17" s="15">
        <f t="shared" si="7"/>
        <v>0</v>
      </c>
      <c r="AD17" s="32">
        <v>21</v>
      </c>
      <c r="AE17" s="32">
        <f>G17*0.36567619047619</f>
        <v>0</v>
      </c>
      <c r="AF17" s="32">
        <f>G17*(1-0.36567619047619)</f>
        <v>0</v>
      </c>
    </row>
    <row r="18" spans="1:32" ht="12.75">
      <c r="A18" s="5" t="s">
        <v>11</v>
      </c>
      <c r="B18" s="5" t="s">
        <v>107</v>
      </c>
      <c r="C18" s="5" t="s">
        <v>113</v>
      </c>
      <c r="D18" s="5" t="s">
        <v>219</v>
      </c>
      <c r="E18" s="5" t="s">
        <v>336</v>
      </c>
      <c r="F18" s="15">
        <v>190.8</v>
      </c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15">
        <v>0.098</v>
      </c>
      <c r="L18" s="15">
        <f t="shared" si="3"/>
        <v>18.698400000000003</v>
      </c>
      <c r="M18" s="27" t="s">
        <v>360</v>
      </c>
      <c r="N18" s="27" t="s">
        <v>7</v>
      </c>
      <c r="O18" s="15">
        <f t="shared" si="4"/>
        <v>0</v>
      </c>
      <c r="Z18" s="15">
        <f t="shared" si="5"/>
        <v>0</v>
      </c>
      <c r="AA18" s="15">
        <f t="shared" si="6"/>
        <v>0</v>
      </c>
      <c r="AB18" s="15">
        <f t="shared" si="7"/>
        <v>0</v>
      </c>
      <c r="AD18" s="32">
        <v>21</v>
      </c>
      <c r="AE18" s="32">
        <f>G18*0</f>
        <v>0</v>
      </c>
      <c r="AF18" s="32">
        <f>G18*(1-0)</f>
        <v>0</v>
      </c>
    </row>
    <row r="19" spans="1:32" ht="12.75">
      <c r="A19" s="5" t="s">
        <v>12</v>
      </c>
      <c r="B19" s="5" t="s">
        <v>107</v>
      </c>
      <c r="C19" s="5" t="s">
        <v>114</v>
      </c>
      <c r="D19" s="5" t="s">
        <v>220</v>
      </c>
      <c r="E19" s="5" t="s">
        <v>336</v>
      </c>
      <c r="F19" s="15">
        <v>190.8</v>
      </c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15">
        <v>0.24</v>
      </c>
      <c r="L19" s="15">
        <f t="shared" si="3"/>
        <v>45.792</v>
      </c>
      <c r="M19" s="27" t="s">
        <v>360</v>
      </c>
      <c r="N19" s="27" t="s">
        <v>7</v>
      </c>
      <c r="O19" s="15">
        <f t="shared" si="4"/>
        <v>0</v>
      </c>
      <c r="Z19" s="15">
        <f t="shared" si="5"/>
        <v>0</v>
      </c>
      <c r="AA19" s="15">
        <f t="shared" si="6"/>
        <v>0</v>
      </c>
      <c r="AB19" s="15">
        <f t="shared" si="7"/>
        <v>0</v>
      </c>
      <c r="AD19" s="32">
        <v>21</v>
      </c>
      <c r="AE19" s="32">
        <f>G19*0</f>
        <v>0</v>
      </c>
      <c r="AF19" s="32">
        <f>G19*(1-0)</f>
        <v>0</v>
      </c>
    </row>
    <row r="20" spans="1:32" ht="12.75">
      <c r="A20" s="5" t="s">
        <v>13</v>
      </c>
      <c r="B20" s="5" t="s">
        <v>107</v>
      </c>
      <c r="C20" s="5" t="s">
        <v>115</v>
      </c>
      <c r="D20" s="5" t="s">
        <v>221</v>
      </c>
      <c r="E20" s="5" t="s">
        <v>336</v>
      </c>
      <c r="F20" s="15">
        <v>936</v>
      </c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v>0.128</v>
      </c>
      <c r="L20" s="15">
        <f t="shared" si="3"/>
        <v>119.808</v>
      </c>
      <c r="M20" s="27" t="s">
        <v>360</v>
      </c>
      <c r="N20" s="27" t="s">
        <v>7</v>
      </c>
      <c r="O20" s="15">
        <f t="shared" si="4"/>
        <v>0</v>
      </c>
      <c r="Z20" s="15">
        <f t="shared" si="5"/>
        <v>0</v>
      </c>
      <c r="AA20" s="15">
        <f t="shared" si="6"/>
        <v>0</v>
      </c>
      <c r="AB20" s="15">
        <f t="shared" si="7"/>
        <v>0</v>
      </c>
      <c r="AD20" s="32">
        <v>21</v>
      </c>
      <c r="AE20" s="32">
        <f>G20*0</f>
        <v>0</v>
      </c>
      <c r="AF20" s="32">
        <f>G20*(1-0)</f>
        <v>0</v>
      </c>
    </row>
    <row r="21" spans="1:32" ht="12.75">
      <c r="A21" s="5" t="s">
        <v>14</v>
      </c>
      <c r="B21" s="5" t="s">
        <v>107</v>
      </c>
      <c r="C21" s="5" t="s">
        <v>116</v>
      </c>
      <c r="D21" s="5" t="s">
        <v>222</v>
      </c>
      <c r="E21" s="5" t="s">
        <v>336</v>
      </c>
      <c r="F21" s="15">
        <v>33.96</v>
      </c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  <c r="K21" s="15">
        <v>0.2</v>
      </c>
      <c r="L21" s="15">
        <f t="shared" si="3"/>
        <v>6.792000000000001</v>
      </c>
      <c r="M21" s="27" t="s">
        <v>360</v>
      </c>
      <c r="N21" s="27" t="s">
        <v>7</v>
      </c>
      <c r="O21" s="15">
        <f t="shared" si="4"/>
        <v>0</v>
      </c>
      <c r="Z21" s="15">
        <f t="shared" si="5"/>
        <v>0</v>
      </c>
      <c r="AA21" s="15">
        <f t="shared" si="6"/>
        <v>0</v>
      </c>
      <c r="AB21" s="15">
        <f t="shared" si="7"/>
        <v>0</v>
      </c>
      <c r="AD21" s="32">
        <v>21</v>
      </c>
      <c r="AE21" s="32">
        <f>G21*0</f>
        <v>0</v>
      </c>
      <c r="AF21" s="32">
        <f>G21*(1-0)</f>
        <v>0</v>
      </c>
    </row>
    <row r="22" spans="1:37" ht="12.75">
      <c r="A22" s="4"/>
      <c r="B22" s="12" t="s">
        <v>107</v>
      </c>
      <c r="C22" s="12" t="s">
        <v>18</v>
      </c>
      <c r="D22" s="57" t="s">
        <v>223</v>
      </c>
      <c r="E22" s="58"/>
      <c r="F22" s="58"/>
      <c r="G22" s="58"/>
      <c r="H22" s="34">
        <f>SUM(H23:H23)</f>
        <v>0</v>
      </c>
      <c r="I22" s="34">
        <f>SUM(I23:I23)</f>
        <v>0</v>
      </c>
      <c r="J22" s="34">
        <f>H22+I22</f>
        <v>0</v>
      </c>
      <c r="K22" s="24"/>
      <c r="L22" s="34">
        <f>SUM(L23:L23)</f>
        <v>0</v>
      </c>
      <c r="M22" s="24"/>
      <c r="P22" s="34">
        <f>IF(Q22="PR",J22,SUM(O23:O23))</f>
        <v>0</v>
      </c>
      <c r="Q22" s="24" t="s">
        <v>364</v>
      </c>
      <c r="R22" s="34">
        <f>IF(Q22="HS",H22,0)</f>
        <v>0</v>
      </c>
      <c r="S22" s="34">
        <f>IF(Q22="HS",I22-P22,0)</f>
        <v>0</v>
      </c>
      <c r="T22" s="34">
        <f>IF(Q22="PS",H22,0)</f>
        <v>0</v>
      </c>
      <c r="U22" s="34">
        <f>IF(Q22="PS",I22-P22,0)</f>
        <v>0</v>
      </c>
      <c r="V22" s="34">
        <f>IF(Q22="MP",H22,0)</f>
        <v>0</v>
      </c>
      <c r="W22" s="34">
        <f>IF(Q22="MP",I22-P22,0)</f>
        <v>0</v>
      </c>
      <c r="X22" s="34">
        <f>IF(Q22="OM",H22,0)</f>
        <v>0</v>
      </c>
      <c r="Y22" s="24" t="s">
        <v>107</v>
      </c>
      <c r="AI22" s="34">
        <f>SUM(Z23:Z23)</f>
        <v>0</v>
      </c>
      <c r="AJ22" s="34">
        <f>SUM(AA23:AA23)</f>
        <v>0</v>
      </c>
      <c r="AK22" s="34">
        <f>SUM(AB23:AB23)</f>
        <v>0</v>
      </c>
    </row>
    <row r="23" spans="1:32" ht="12.75">
      <c r="A23" s="5" t="s">
        <v>15</v>
      </c>
      <c r="B23" s="5" t="s">
        <v>107</v>
      </c>
      <c r="C23" s="5" t="s">
        <v>117</v>
      </c>
      <c r="D23" s="5" t="s">
        <v>224</v>
      </c>
      <c r="E23" s="5" t="s">
        <v>337</v>
      </c>
      <c r="F23" s="15">
        <v>2.25</v>
      </c>
      <c r="G23" s="15"/>
      <c r="H23" s="15">
        <f>ROUND(F23*AE23,2)</f>
        <v>0</v>
      </c>
      <c r="I23" s="15">
        <f>J23-H23</f>
        <v>0</v>
      </c>
      <c r="J23" s="15">
        <f>ROUND(F23*G23,2)</f>
        <v>0</v>
      </c>
      <c r="K23" s="15">
        <v>0</v>
      </c>
      <c r="L23" s="15">
        <f>F23*K23</f>
        <v>0</v>
      </c>
      <c r="M23" s="27" t="s">
        <v>360</v>
      </c>
      <c r="N23" s="27" t="s">
        <v>7</v>
      </c>
      <c r="O23" s="15">
        <f>IF(N23="5",I23,0)</f>
        <v>0</v>
      </c>
      <c r="Z23" s="15">
        <f>IF(AD23=0,J23,0)</f>
        <v>0</v>
      </c>
      <c r="AA23" s="15">
        <f>IF(AD23=15,J23,0)</f>
        <v>0</v>
      </c>
      <c r="AB23" s="15">
        <f>IF(AD23=21,J23,0)</f>
        <v>0</v>
      </c>
      <c r="AD23" s="32">
        <v>21</v>
      </c>
      <c r="AE23" s="32">
        <f>G23*0</f>
        <v>0</v>
      </c>
      <c r="AF23" s="32">
        <f>G23*(1-0)</f>
        <v>0</v>
      </c>
    </row>
    <row r="24" spans="1:37" ht="12.75">
      <c r="A24" s="4"/>
      <c r="B24" s="12" t="s">
        <v>107</v>
      </c>
      <c r="C24" s="12" t="s">
        <v>19</v>
      </c>
      <c r="D24" s="57" t="s">
        <v>225</v>
      </c>
      <c r="E24" s="58"/>
      <c r="F24" s="58"/>
      <c r="G24" s="58"/>
      <c r="H24" s="34">
        <f>SUM(H25:H38)</f>
        <v>0</v>
      </c>
      <c r="I24" s="34">
        <f>SUM(I25:I38)</f>
        <v>0</v>
      </c>
      <c r="J24" s="34">
        <f>H24+I24</f>
        <v>0</v>
      </c>
      <c r="K24" s="24"/>
      <c r="L24" s="34">
        <f>SUM(L25:L38)</f>
        <v>0.08328</v>
      </c>
      <c r="M24" s="24"/>
      <c r="P24" s="34">
        <f>IF(Q24="PR",J24,SUM(O25:O38))</f>
        <v>0</v>
      </c>
      <c r="Q24" s="24" t="s">
        <v>364</v>
      </c>
      <c r="R24" s="34">
        <f>IF(Q24="HS",H24,0)</f>
        <v>0</v>
      </c>
      <c r="S24" s="34">
        <f>IF(Q24="HS",I24-P24,0)</f>
        <v>0</v>
      </c>
      <c r="T24" s="34">
        <f>IF(Q24="PS",H24,0)</f>
        <v>0</v>
      </c>
      <c r="U24" s="34">
        <f>IF(Q24="PS",I24-P24,0)</f>
        <v>0</v>
      </c>
      <c r="V24" s="34">
        <f>IF(Q24="MP",H24,0)</f>
        <v>0</v>
      </c>
      <c r="W24" s="34">
        <f>IF(Q24="MP",I24-P24,0)</f>
        <v>0</v>
      </c>
      <c r="X24" s="34">
        <f>IF(Q24="OM",H24,0)</f>
        <v>0</v>
      </c>
      <c r="Y24" s="24" t="s">
        <v>107</v>
      </c>
      <c r="AI24" s="34">
        <f>SUM(Z25:Z38)</f>
        <v>0</v>
      </c>
      <c r="AJ24" s="34">
        <f>SUM(AA25:AA38)</f>
        <v>0</v>
      </c>
      <c r="AK24" s="34">
        <f>SUM(AB25:AB38)</f>
        <v>0</v>
      </c>
    </row>
    <row r="25" spans="1:32" ht="12.75">
      <c r="A25" s="5" t="s">
        <v>16</v>
      </c>
      <c r="B25" s="5" t="s">
        <v>107</v>
      </c>
      <c r="C25" s="5" t="s">
        <v>118</v>
      </c>
      <c r="D25" s="5" t="s">
        <v>226</v>
      </c>
      <c r="E25" s="5" t="s">
        <v>337</v>
      </c>
      <c r="F25" s="15">
        <v>111.4</v>
      </c>
      <c r="G25" s="15"/>
      <c r="H25" s="15">
        <f aca="true" t="shared" si="8" ref="H25:H38">ROUND(F25*AE25,2)</f>
        <v>0</v>
      </c>
      <c r="I25" s="15">
        <f aca="true" t="shared" si="9" ref="I25:I38">J25-H25</f>
        <v>0</v>
      </c>
      <c r="J25" s="15">
        <f aca="true" t="shared" si="10" ref="J25:J38">ROUND(F25*G25,2)</f>
        <v>0</v>
      </c>
      <c r="K25" s="15">
        <v>0</v>
      </c>
      <c r="L25" s="15">
        <f aca="true" t="shared" si="11" ref="L25:L38">F25*K25</f>
        <v>0</v>
      </c>
      <c r="M25" s="27" t="s">
        <v>360</v>
      </c>
      <c r="N25" s="27" t="s">
        <v>7</v>
      </c>
      <c r="O25" s="15">
        <f aca="true" t="shared" si="12" ref="O25:O38">IF(N25="5",I25,0)</f>
        <v>0</v>
      </c>
      <c r="Z25" s="15">
        <f aca="true" t="shared" si="13" ref="Z25:Z38">IF(AD25=0,J25,0)</f>
        <v>0</v>
      </c>
      <c r="AA25" s="15">
        <f aca="true" t="shared" si="14" ref="AA25:AA38">IF(AD25=15,J25,0)</f>
        <v>0</v>
      </c>
      <c r="AB25" s="15">
        <f aca="true" t="shared" si="15" ref="AB25:AB38">IF(AD25=21,J25,0)</f>
        <v>0</v>
      </c>
      <c r="AD25" s="32">
        <v>21</v>
      </c>
      <c r="AE25" s="32">
        <f aca="true" t="shared" si="16" ref="AE25:AE37">G25*0</f>
        <v>0</v>
      </c>
      <c r="AF25" s="32">
        <f aca="true" t="shared" si="17" ref="AF25:AF37">G25*(1-0)</f>
        <v>0</v>
      </c>
    </row>
    <row r="26" spans="1:32" ht="12.75">
      <c r="A26" s="5" t="s">
        <v>17</v>
      </c>
      <c r="B26" s="5" t="s">
        <v>107</v>
      </c>
      <c r="C26" s="5" t="s">
        <v>119</v>
      </c>
      <c r="D26" s="5" t="s">
        <v>227</v>
      </c>
      <c r="E26" s="5" t="s">
        <v>337</v>
      </c>
      <c r="F26" s="15">
        <v>29.69</v>
      </c>
      <c r="G26" s="15"/>
      <c r="H26" s="15">
        <f t="shared" si="8"/>
        <v>0</v>
      </c>
      <c r="I26" s="15">
        <f t="shared" si="9"/>
        <v>0</v>
      </c>
      <c r="J26" s="15">
        <f t="shared" si="10"/>
        <v>0</v>
      </c>
      <c r="K26" s="15">
        <v>0</v>
      </c>
      <c r="L26" s="15">
        <f t="shared" si="11"/>
        <v>0</v>
      </c>
      <c r="M26" s="27" t="s">
        <v>360</v>
      </c>
      <c r="N26" s="27" t="s">
        <v>7</v>
      </c>
      <c r="O26" s="15">
        <f t="shared" si="12"/>
        <v>0</v>
      </c>
      <c r="Z26" s="15">
        <f t="shared" si="13"/>
        <v>0</v>
      </c>
      <c r="AA26" s="15">
        <f t="shared" si="14"/>
        <v>0</v>
      </c>
      <c r="AB26" s="15">
        <f t="shared" si="15"/>
        <v>0</v>
      </c>
      <c r="AD26" s="32">
        <v>21</v>
      </c>
      <c r="AE26" s="32">
        <f t="shared" si="16"/>
        <v>0</v>
      </c>
      <c r="AF26" s="32">
        <f t="shared" si="17"/>
        <v>0</v>
      </c>
    </row>
    <row r="27" spans="1:32" ht="12.75">
      <c r="A27" s="5" t="s">
        <v>18</v>
      </c>
      <c r="B27" s="5" t="s">
        <v>107</v>
      </c>
      <c r="C27" s="5" t="s">
        <v>120</v>
      </c>
      <c r="D27" s="5" t="s">
        <v>228</v>
      </c>
      <c r="E27" s="5" t="s">
        <v>337</v>
      </c>
      <c r="F27" s="15">
        <v>29.69</v>
      </c>
      <c r="G27" s="15"/>
      <c r="H27" s="15">
        <f t="shared" si="8"/>
        <v>0</v>
      </c>
      <c r="I27" s="15">
        <f t="shared" si="9"/>
        <v>0</v>
      </c>
      <c r="J27" s="15">
        <f t="shared" si="10"/>
        <v>0</v>
      </c>
      <c r="K27" s="15">
        <v>0</v>
      </c>
      <c r="L27" s="15">
        <f t="shared" si="11"/>
        <v>0</v>
      </c>
      <c r="M27" s="27" t="s">
        <v>360</v>
      </c>
      <c r="N27" s="27" t="s">
        <v>7</v>
      </c>
      <c r="O27" s="15">
        <f t="shared" si="12"/>
        <v>0</v>
      </c>
      <c r="Z27" s="15">
        <f t="shared" si="13"/>
        <v>0</v>
      </c>
      <c r="AA27" s="15">
        <f t="shared" si="14"/>
        <v>0</v>
      </c>
      <c r="AB27" s="15">
        <f t="shared" si="15"/>
        <v>0</v>
      </c>
      <c r="AD27" s="32">
        <v>21</v>
      </c>
      <c r="AE27" s="32">
        <f t="shared" si="16"/>
        <v>0</v>
      </c>
      <c r="AF27" s="32">
        <f t="shared" si="17"/>
        <v>0</v>
      </c>
    </row>
    <row r="28" spans="1:32" ht="12.75">
      <c r="A28" s="5" t="s">
        <v>19</v>
      </c>
      <c r="B28" s="5" t="s">
        <v>107</v>
      </c>
      <c r="C28" s="5" t="s">
        <v>121</v>
      </c>
      <c r="D28" s="5" t="s">
        <v>229</v>
      </c>
      <c r="E28" s="5" t="s">
        <v>337</v>
      </c>
      <c r="F28" s="15">
        <v>29.69</v>
      </c>
      <c r="G28" s="15"/>
      <c r="H28" s="15">
        <f t="shared" si="8"/>
        <v>0</v>
      </c>
      <c r="I28" s="15">
        <f t="shared" si="9"/>
        <v>0</v>
      </c>
      <c r="J28" s="15">
        <f t="shared" si="10"/>
        <v>0</v>
      </c>
      <c r="K28" s="15">
        <v>0</v>
      </c>
      <c r="L28" s="15">
        <f t="shared" si="11"/>
        <v>0</v>
      </c>
      <c r="M28" s="27" t="s">
        <v>360</v>
      </c>
      <c r="N28" s="27" t="s">
        <v>7</v>
      </c>
      <c r="O28" s="15">
        <f t="shared" si="12"/>
        <v>0</v>
      </c>
      <c r="Z28" s="15">
        <f t="shared" si="13"/>
        <v>0</v>
      </c>
      <c r="AA28" s="15">
        <f t="shared" si="14"/>
        <v>0</v>
      </c>
      <c r="AB28" s="15">
        <f t="shared" si="15"/>
        <v>0</v>
      </c>
      <c r="AD28" s="32">
        <v>21</v>
      </c>
      <c r="AE28" s="32">
        <f t="shared" si="16"/>
        <v>0</v>
      </c>
      <c r="AF28" s="32">
        <f t="shared" si="17"/>
        <v>0</v>
      </c>
    </row>
    <row r="29" spans="1:32" ht="12.75">
      <c r="A29" s="5" t="s">
        <v>20</v>
      </c>
      <c r="B29" s="5" t="s">
        <v>107</v>
      </c>
      <c r="C29" s="5" t="s">
        <v>122</v>
      </c>
      <c r="D29" s="5" t="s">
        <v>230</v>
      </c>
      <c r="E29" s="5" t="s">
        <v>337</v>
      </c>
      <c r="F29" s="15">
        <v>29.69</v>
      </c>
      <c r="G29" s="15"/>
      <c r="H29" s="15">
        <f t="shared" si="8"/>
        <v>0</v>
      </c>
      <c r="I29" s="15">
        <f t="shared" si="9"/>
        <v>0</v>
      </c>
      <c r="J29" s="15">
        <f t="shared" si="10"/>
        <v>0</v>
      </c>
      <c r="K29" s="15">
        <v>0</v>
      </c>
      <c r="L29" s="15">
        <f t="shared" si="11"/>
        <v>0</v>
      </c>
      <c r="M29" s="27" t="s">
        <v>360</v>
      </c>
      <c r="N29" s="27" t="s">
        <v>7</v>
      </c>
      <c r="O29" s="15">
        <f t="shared" si="12"/>
        <v>0</v>
      </c>
      <c r="Z29" s="15">
        <f t="shared" si="13"/>
        <v>0</v>
      </c>
      <c r="AA29" s="15">
        <f t="shared" si="14"/>
        <v>0</v>
      </c>
      <c r="AB29" s="15">
        <f t="shared" si="15"/>
        <v>0</v>
      </c>
      <c r="AD29" s="32">
        <v>21</v>
      </c>
      <c r="AE29" s="32">
        <f t="shared" si="16"/>
        <v>0</v>
      </c>
      <c r="AF29" s="32">
        <f t="shared" si="17"/>
        <v>0</v>
      </c>
    </row>
    <row r="30" spans="1:32" ht="12.75">
      <c r="A30" s="5" t="s">
        <v>21</v>
      </c>
      <c r="B30" s="5" t="s">
        <v>107</v>
      </c>
      <c r="C30" s="5" t="s">
        <v>123</v>
      </c>
      <c r="D30" s="5" t="s">
        <v>231</v>
      </c>
      <c r="E30" s="5" t="s">
        <v>337</v>
      </c>
      <c r="F30" s="15">
        <v>134.43</v>
      </c>
      <c r="G30" s="15"/>
      <c r="H30" s="15">
        <f t="shared" si="8"/>
        <v>0</v>
      </c>
      <c r="I30" s="15">
        <f t="shared" si="9"/>
        <v>0</v>
      </c>
      <c r="J30" s="15">
        <f t="shared" si="10"/>
        <v>0</v>
      </c>
      <c r="K30" s="15">
        <v>0</v>
      </c>
      <c r="L30" s="15">
        <f t="shared" si="11"/>
        <v>0</v>
      </c>
      <c r="M30" s="27" t="s">
        <v>360</v>
      </c>
      <c r="N30" s="27" t="s">
        <v>7</v>
      </c>
      <c r="O30" s="15">
        <f t="shared" si="12"/>
        <v>0</v>
      </c>
      <c r="Z30" s="15">
        <f t="shared" si="13"/>
        <v>0</v>
      </c>
      <c r="AA30" s="15">
        <f t="shared" si="14"/>
        <v>0</v>
      </c>
      <c r="AB30" s="15">
        <f t="shared" si="15"/>
        <v>0</v>
      </c>
      <c r="AD30" s="32">
        <v>21</v>
      </c>
      <c r="AE30" s="32">
        <f t="shared" si="16"/>
        <v>0</v>
      </c>
      <c r="AF30" s="32">
        <f t="shared" si="17"/>
        <v>0</v>
      </c>
    </row>
    <row r="31" spans="1:32" ht="12.75">
      <c r="A31" s="5" t="s">
        <v>22</v>
      </c>
      <c r="B31" s="5" t="s">
        <v>107</v>
      </c>
      <c r="C31" s="5" t="s">
        <v>124</v>
      </c>
      <c r="D31" s="5" t="s">
        <v>232</v>
      </c>
      <c r="E31" s="5" t="s">
        <v>337</v>
      </c>
      <c r="F31" s="15">
        <v>134.43</v>
      </c>
      <c r="G31" s="15"/>
      <c r="H31" s="15">
        <f t="shared" si="8"/>
        <v>0</v>
      </c>
      <c r="I31" s="15">
        <f t="shared" si="9"/>
        <v>0</v>
      </c>
      <c r="J31" s="15">
        <f t="shared" si="10"/>
        <v>0</v>
      </c>
      <c r="K31" s="15">
        <v>0</v>
      </c>
      <c r="L31" s="15">
        <f t="shared" si="11"/>
        <v>0</v>
      </c>
      <c r="M31" s="27" t="s">
        <v>360</v>
      </c>
      <c r="N31" s="27" t="s">
        <v>7</v>
      </c>
      <c r="O31" s="15">
        <f t="shared" si="12"/>
        <v>0</v>
      </c>
      <c r="Z31" s="15">
        <f t="shared" si="13"/>
        <v>0</v>
      </c>
      <c r="AA31" s="15">
        <f t="shared" si="14"/>
        <v>0</v>
      </c>
      <c r="AB31" s="15">
        <f t="shared" si="15"/>
        <v>0</v>
      </c>
      <c r="AD31" s="32">
        <v>21</v>
      </c>
      <c r="AE31" s="32">
        <f t="shared" si="16"/>
        <v>0</v>
      </c>
      <c r="AF31" s="32">
        <f t="shared" si="17"/>
        <v>0</v>
      </c>
    </row>
    <row r="32" spans="1:32" ht="12.75">
      <c r="A32" s="5" t="s">
        <v>23</v>
      </c>
      <c r="B32" s="5" t="s">
        <v>107</v>
      </c>
      <c r="C32" s="5" t="s">
        <v>125</v>
      </c>
      <c r="D32" s="5" t="s">
        <v>233</v>
      </c>
      <c r="E32" s="5" t="s">
        <v>337</v>
      </c>
      <c r="F32" s="15">
        <v>134.43</v>
      </c>
      <c r="G32" s="15"/>
      <c r="H32" s="15">
        <f t="shared" si="8"/>
        <v>0</v>
      </c>
      <c r="I32" s="15">
        <f t="shared" si="9"/>
        <v>0</v>
      </c>
      <c r="J32" s="15">
        <f t="shared" si="10"/>
        <v>0</v>
      </c>
      <c r="K32" s="15">
        <v>0</v>
      </c>
      <c r="L32" s="15">
        <f t="shared" si="11"/>
        <v>0</v>
      </c>
      <c r="M32" s="27" t="s">
        <v>360</v>
      </c>
      <c r="N32" s="27" t="s">
        <v>7</v>
      </c>
      <c r="O32" s="15">
        <f t="shared" si="12"/>
        <v>0</v>
      </c>
      <c r="Z32" s="15">
        <f t="shared" si="13"/>
        <v>0</v>
      </c>
      <c r="AA32" s="15">
        <f t="shared" si="14"/>
        <v>0</v>
      </c>
      <c r="AB32" s="15">
        <f t="shared" si="15"/>
        <v>0</v>
      </c>
      <c r="AD32" s="32">
        <v>21</v>
      </c>
      <c r="AE32" s="32">
        <f t="shared" si="16"/>
        <v>0</v>
      </c>
      <c r="AF32" s="32">
        <f t="shared" si="17"/>
        <v>0</v>
      </c>
    </row>
    <row r="33" spans="1:32" ht="12.75">
      <c r="A33" s="5" t="s">
        <v>24</v>
      </c>
      <c r="B33" s="5" t="s">
        <v>107</v>
      </c>
      <c r="C33" s="5" t="s">
        <v>126</v>
      </c>
      <c r="D33" s="5" t="s">
        <v>234</v>
      </c>
      <c r="E33" s="5" t="s">
        <v>337</v>
      </c>
      <c r="F33" s="15">
        <v>134.43</v>
      </c>
      <c r="G33" s="15"/>
      <c r="H33" s="15">
        <f t="shared" si="8"/>
        <v>0</v>
      </c>
      <c r="I33" s="15">
        <f t="shared" si="9"/>
        <v>0</v>
      </c>
      <c r="J33" s="15">
        <f t="shared" si="10"/>
        <v>0</v>
      </c>
      <c r="K33" s="15">
        <v>0</v>
      </c>
      <c r="L33" s="15">
        <f t="shared" si="11"/>
        <v>0</v>
      </c>
      <c r="M33" s="27" t="s">
        <v>360</v>
      </c>
      <c r="N33" s="27" t="s">
        <v>7</v>
      </c>
      <c r="O33" s="15">
        <f t="shared" si="12"/>
        <v>0</v>
      </c>
      <c r="Z33" s="15">
        <f t="shared" si="13"/>
        <v>0</v>
      </c>
      <c r="AA33" s="15">
        <f t="shared" si="14"/>
        <v>0</v>
      </c>
      <c r="AB33" s="15">
        <f t="shared" si="15"/>
        <v>0</v>
      </c>
      <c r="AD33" s="32">
        <v>21</v>
      </c>
      <c r="AE33" s="32">
        <f t="shared" si="16"/>
        <v>0</v>
      </c>
      <c r="AF33" s="32">
        <f t="shared" si="17"/>
        <v>0</v>
      </c>
    </row>
    <row r="34" spans="1:32" ht="12.75">
      <c r="A34" s="5" t="s">
        <v>25</v>
      </c>
      <c r="B34" s="5" t="s">
        <v>107</v>
      </c>
      <c r="C34" s="5" t="s">
        <v>127</v>
      </c>
      <c r="D34" s="5" t="s">
        <v>235</v>
      </c>
      <c r="E34" s="5" t="s">
        <v>337</v>
      </c>
      <c r="F34" s="15">
        <v>63.4</v>
      </c>
      <c r="G34" s="15"/>
      <c r="H34" s="15">
        <f t="shared" si="8"/>
        <v>0</v>
      </c>
      <c r="I34" s="15">
        <f t="shared" si="9"/>
        <v>0</v>
      </c>
      <c r="J34" s="15">
        <f t="shared" si="10"/>
        <v>0</v>
      </c>
      <c r="K34" s="15">
        <v>0</v>
      </c>
      <c r="L34" s="15">
        <f t="shared" si="11"/>
        <v>0</v>
      </c>
      <c r="M34" s="27" t="s">
        <v>360</v>
      </c>
      <c r="N34" s="27" t="s">
        <v>7</v>
      </c>
      <c r="O34" s="15">
        <f t="shared" si="12"/>
        <v>0</v>
      </c>
      <c r="Z34" s="15">
        <f t="shared" si="13"/>
        <v>0</v>
      </c>
      <c r="AA34" s="15">
        <f t="shared" si="14"/>
        <v>0</v>
      </c>
      <c r="AB34" s="15">
        <f t="shared" si="15"/>
        <v>0</v>
      </c>
      <c r="AD34" s="32">
        <v>21</v>
      </c>
      <c r="AE34" s="32">
        <f t="shared" si="16"/>
        <v>0</v>
      </c>
      <c r="AF34" s="32">
        <f t="shared" si="17"/>
        <v>0</v>
      </c>
    </row>
    <row r="35" spans="1:32" ht="12.75">
      <c r="A35" s="5" t="s">
        <v>26</v>
      </c>
      <c r="B35" s="5" t="s">
        <v>107</v>
      </c>
      <c r="C35" s="5" t="s">
        <v>128</v>
      </c>
      <c r="D35" s="5" t="s">
        <v>236</v>
      </c>
      <c r="E35" s="5" t="s">
        <v>337</v>
      </c>
      <c r="F35" s="15">
        <v>63.4</v>
      </c>
      <c r="G35" s="15"/>
      <c r="H35" s="15">
        <f t="shared" si="8"/>
        <v>0</v>
      </c>
      <c r="I35" s="15">
        <f t="shared" si="9"/>
        <v>0</v>
      </c>
      <c r="J35" s="15">
        <f t="shared" si="10"/>
        <v>0</v>
      </c>
      <c r="K35" s="15">
        <v>0</v>
      </c>
      <c r="L35" s="15">
        <f t="shared" si="11"/>
        <v>0</v>
      </c>
      <c r="M35" s="27" t="s">
        <v>360</v>
      </c>
      <c r="N35" s="27" t="s">
        <v>7</v>
      </c>
      <c r="O35" s="15">
        <f t="shared" si="12"/>
        <v>0</v>
      </c>
      <c r="Z35" s="15">
        <f t="shared" si="13"/>
        <v>0</v>
      </c>
      <c r="AA35" s="15">
        <f t="shared" si="14"/>
        <v>0</v>
      </c>
      <c r="AB35" s="15">
        <f t="shared" si="15"/>
        <v>0</v>
      </c>
      <c r="AD35" s="32">
        <v>21</v>
      </c>
      <c r="AE35" s="32">
        <f t="shared" si="16"/>
        <v>0</v>
      </c>
      <c r="AF35" s="32">
        <f t="shared" si="17"/>
        <v>0</v>
      </c>
    </row>
    <row r="36" spans="1:32" ht="12.75">
      <c r="A36" s="5" t="s">
        <v>27</v>
      </c>
      <c r="B36" s="5" t="s">
        <v>107</v>
      </c>
      <c r="C36" s="5" t="s">
        <v>129</v>
      </c>
      <c r="D36" s="5" t="s">
        <v>237</v>
      </c>
      <c r="E36" s="5" t="s">
        <v>337</v>
      </c>
      <c r="F36" s="15">
        <v>63.4</v>
      </c>
      <c r="G36" s="15"/>
      <c r="H36" s="15">
        <f t="shared" si="8"/>
        <v>0</v>
      </c>
      <c r="I36" s="15">
        <f t="shared" si="9"/>
        <v>0</v>
      </c>
      <c r="J36" s="15">
        <f t="shared" si="10"/>
        <v>0</v>
      </c>
      <c r="K36" s="15">
        <v>0</v>
      </c>
      <c r="L36" s="15">
        <f t="shared" si="11"/>
        <v>0</v>
      </c>
      <c r="M36" s="27" t="s">
        <v>360</v>
      </c>
      <c r="N36" s="27" t="s">
        <v>7</v>
      </c>
      <c r="O36" s="15">
        <f t="shared" si="12"/>
        <v>0</v>
      </c>
      <c r="Z36" s="15">
        <f t="shared" si="13"/>
        <v>0</v>
      </c>
      <c r="AA36" s="15">
        <f t="shared" si="14"/>
        <v>0</v>
      </c>
      <c r="AB36" s="15">
        <f t="shared" si="15"/>
        <v>0</v>
      </c>
      <c r="AD36" s="32">
        <v>21</v>
      </c>
      <c r="AE36" s="32">
        <f t="shared" si="16"/>
        <v>0</v>
      </c>
      <c r="AF36" s="32">
        <f t="shared" si="17"/>
        <v>0</v>
      </c>
    </row>
    <row r="37" spans="1:32" ht="12.75">
      <c r="A37" s="5" t="s">
        <v>28</v>
      </c>
      <c r="B37" s="5" t="s">
        <v>107</v>
      </c>
      <c r="C37" s="5" t="s">
        <v>130</v>
      </c>
      <c r="D37" s="5" t="s">
        <v>238</v>
      </c>
      <c r="E37" s="5" t="s">
        <v>337</v>
      </c>
      <c r="F37" s="15">
        <v>63.4</v>
      </c>
      <c r="G37" s="15"/>
      <c r="H37" s="15">
        <f t="shared" si="8"/>
        <v>0</v>
      </c>
      <c r="I37" s="15">
        <f t="shared" si="9"/>
        <v>0</v>
      </c>
      <c r="J37" s="15">
        <f t="shared" si="10"/>
        <v>0</v>
      </c>
      <c r="K37" s="15">
        <v>0</v>
      </c>
      <c r="L37" s="15">
        <f t="shared" si="11"/>
        <v>0</v>
      </c>
      <c r="M37" s="27" t="s">
        <v>360</v>
      </c>
      <c r="N37" s="27" t="s">
        <v>7</v>
      </c>
      <c r="O37" s="15">
        <f t="shared" si="12"/>
        <v>0</v>
      </c>
      <c r="Z37" s="15">
        <f t="shared" si="13"/>
        <v>0</v>
      </c>
      <c r="AA37" s="15">
        <f t="shared" si="14"/>
        <v>0</v>
      </c>
      <c r="AB37" s="15">
        <f t="shared" si="15"/>
        <v>0</v>
      </c>
      <c r="AD37" s="32">
        <v>21</v>
      </c>
      <c r="AE37" s="32">
        <f t="shared" si="16"/>
        <v>0</v>
      </c>
      <c r="AF37" s="32">
        <f t="shared" si="17"/>
        <v>0</v>
      </c>
    </row>
    <row r="38" spans="1:32" ht="12.75">
      <c r="A38" s="5" t="s">
        <v>29</v>
      </c>
      <c r="B38" s="5" t="s">
        <v>107</v>
      </c>
      <c r="C38" s="5" t="s">
        <v>131</v>
      </c>
      <c r="D38" s="5" t="s">
        <v>239</v>
      </c>
      <c r="E38" s="5" t="s">
        <v>337</v>
      </c>
      <c r="F38" s="15">
        <v>8</v>
      </c>
      <c r="G38" s="15"/>
      <c r="H38" s="15">
        <f t="shared" si="8"/>
        <v>0</v>
      </c>
      <c r="I38" s="15">
        <f t="shared" si="9"/>
        <v>0</v>
      </c>
      <c r="J38" s="15">
        <f t="shared" si="10"/>
        <v>0</v>
      </c>
      <c r="K38" s="15">
        <v>0.01041</v>
      </c>
      <c r="L38" s="15">
        <f t="shared" si="11"/>
        <v>0.08328</v>
      </c>
      <c r="M38" s="27" t="s">
        <v>360</v>
      </c>
      <c r="N38" s="27" t="s">
        <v>7</v>
      </c>
      <c r="O38" s="15">
        <f t="shared" si="12"/>
        <v>0</v>
      </c>
      <c r="Z38" s="15">
        <f t="shared" si="13"/>
        <v>0</v>
      </c>
      <c r="AA38" s="15">
        <f t="shared" si="14"/>
        <v>0</v>
      </c>
      <c r="AB38" s="15">
        <f t="shared" si="15"/>
        <v>0</v>
      </c>
      <c r="AD38" s="32">
        <v>21</v>
      </c>
      <c r="AE38" s="32">
        <f>G38*0.0359475083102589</f>
        <v>0</v>
      </c>
      <c r="AF38" s="32">
        <f>G38*(1-0.0359475083102589)</f>
        <v>0</v>
      </c>
    </row>
    <row r="39" spans="1:37" ht="12.75">
      <c r="A39" s="4"/>
      <c r="B39" s="12" t="s">
        <v>107</v>
      </c>
      <c r="C39" s="12" t="s">
        <v>21</v>
      </c>
      <c r="D39" s="57" t="s">
        <v>240</v>
      </c>
      <c r="E39" s="58"/>
      <c r="F39" s="58"/>
      <c r="G39" s="58"/>
      <c r="H39" s="34">
        <f>SUM(H40:H43)</f>
        <v>0</v>
      </c>
      <c r="I39" s="34">
        <f>SUM(I40:I43)</f>
        <v>0</v>
      </c>
      <c r="J39" s="34">
        <f>H39+I39</f>
        <v>0</v>
      </c>
      <c r="K39" s="24"/>
      <c r="L39" s="34">
        <f>SUM(L40:L43)</f>
        <v>0.8723000000000001</v>
      </c>
      <c r="M39" s="24"/>
      <c r="P39" s="34">
        <f>IF(Q39="PR",J39,SUM(O40:O43))</f>
        <v>0</v>
      </c>
      <c r="Q39" s="24" t="s">
        <v>364</v>
      </c>
      <c r="R39" s="34">
        <f>IF(Q39="HS",H39,0)</f>
        <v>0</v>
      </c>
      <c r="S39" s="34">
        <f>IF(Q39="HS",I39-P39,0)</f>
        <v>0</v>
      </c>
      <c r="T39" s="34">
        <f>IF(Q39="PS",H39,0)</f>
        <v>0</v>
      </c>
      <c r="U39" s="34">
        <f>IF(Q39="PS",I39-P39,0)</f>
        <v>0</v>
      </c>
      <c r="V39" s="34">
        <f>IF(Q39="MP",H39,0)</f>
        <v>0</v>
      </c>
      <c r="W39" s="34">
        <f>IF(Q39="MP",I39-P39,0)</f>
        <v>0</v>
      </c>
      <c r="X39" s="34">
        <f>IF(Q39="OM",H39,0)</f>
        <v>0</v>
      </c>
      <c r="Y39" s="24" t="s">
        <v>107</v>
      </c>
      <c r="AI39" s="34">
        <f>SUM(Z40:Z43)</f>
        <v>0</v>
      </c>
      <c r="AJ39" s="34">
        <f>SUM(AA40:AA43)</f>
        <v>0</v>
      </c>
      <c r="AK39" s="34">
        <f>SUM(AB40:AB43)</f>
        <v>0</v>
      </c>
    </row>
    <row r="40" spans="1:32" ht="12.75">
      <c r="A40" s="5" t="s">
        <v>30</v>
      </c>
      <c r="B40" s="5" t="s">
        <v>107</v>
      </c>
      <c r="C40" s="5" t="s">
        <v>132</v>
      </c>
      <c r="D40" s="5" t="s">
        <v>241</v>
      </c>
      <c r="E40" s="5" t="s">
        <v>336</v>
      </c>
      <c r="F40" s="15">
        <v>402</v>
      </c>
      <c r="G40" s="15"/>
      <c r="H40" s="15">
        <f>ROUND(F40*AE40,2)</f>
        <v>0</v>
      </c>
      <c r="I40" s="15">
        <f>J40-H40</f>
        <v>0</v>
      </c>
      <c r="J40" s="15">
        <f>ROUND(F40*G40,2)</f>
        <v>0</v>
      </c>
      <c r="K40" s="15">
        <v>0.00099</v>
      </c>
      <c r="L40" s="15">
        <f>F40*K40</f>
        <v>0.39798</v>
      </c>
      <c r="M40" s="27" t="s">
        <v>360</v>
      </c>
      <c r="N40" s="27" t="s">
        <v>7</v>
      </c>
      <c r="O40" s="15">
        <f>IF(N40="5",I40,0)</f>
        <v>0</v>
      </c>
      <c r="Z40" s="15">
        <f>IF(AD40=0,J40,0)</f>
        <v>0</v>
      </c>
      <c r="AA40" s="15">
        <f>IF(AD40=15,J40,0)</f>
        <v>0</v>
      </c>
      <c r="AB40" s="15">
        <f>IF(AD40=21,J40,0)</f>
        <v>0</v>
      </c>
      <c r="AD40" s="32">
        <v>21</v>
      </c>
      <c r="AE40" s="32">
        <f>G40*0.110419026047565</f>
        <v>0</v>
      </c>
      <c r="AF40" s="32">
        <f>G40*(1-0.110419026047565)</f>
        <v>0</v>
      </c>
    </row>
    <row r="41" spans="1:32" ht="12.75">
      <c r="A41" s="5" t="s">
        <v>31</v>
      </c>
      <c r="B41" s="5" t="s">
        <v>107</v>
      </c>
      <c r="C41" s="5" t="s">
        <v>133</v>
      </c>
      <c r="D41" s="5" t="s">
        <v>242</v>
      </c>
      <c r="E41" s="5" t="s">
        <v>336</v>
      </c>
      <c r="F41" s="15">
        <v>402</v>
      </c>
      <c r="G41" s="15"/>
      <c r="H41" s="15">
        <f>ROUND(F41*AE41,2)</f>
        <v>0</v>
      </c>
      <c r="I41" s="15">
        <f>J41-H41</f>
        <v>0</v>
      </c>
      <c r="J41" s="15">
        <f>ROUND(F41*G41,2)</f>
        <v>0</v>
      </c>
      <c r="K41" s="15">
        <v>0</v>
      </c>
      <c r="L41" s="15">
        <f>F41*K41</f>
        <v>0</v>
      </c>
      <c r="M41" s="27" t="s">
        <v>360</v>
      </c>
      <c r="N41" s="27" t="s">
        <v>7</v>
      </c>
      <c r="O41" s="15">
        <f>IF(N41="5",I41,0)</f>
        <v>0</v>
      </c>
      <c r="Z41" s="15">
        <f>IF(AD41=0,J41,0)</f>
        <v>0</v>
      </c>
      <c r="AA41" s="15">
        <f>IF(AD41=15,J41,0)</f>
        <v>0</v>
      </c>
      <c r="AB41" s="15">
        <f>IF(AD41=21,J41,0)</f>
        <v>0</v>
      </c>
      <c r="AD41" s="32">
        <v>21</v>
      </c>
      <c r="AE41" s="32">
        <f>G41*0</f>
        <v>0</v>
      </c>
      <c r="AF41" s="32">
        <f>G41*(1-0)</f>
        <v>0</v>
      </c>
    </row>
    <row r="42" spans="1:32" ht="12.75">
      <c r="A42" s="5" t="s">
        <v>32</v>
      </c>
      <c r="B42" s="5" t="s">
        <v>107</v>
      </c>
      <c r="C42" s="5" t="s">
        <v>134</v>
      </c>
      <c r="D42" s="5" t="s">
        <v>243</v>
      </c>
      <c r="E42" s="5" t="s">
        <v>336</v>
      </c>
      <c r="F42" s="15">
        <v>677.6</v>
      </c>
      <c r="G42" s="15"/>
      <c r="H42" s="15">
        <f>ROUND(F42*AE42,2)</f>
        <v>0</v>
      </c>
      <c r="I42" s="15">
        <f>J42-H42</f>
        <v>0</v>
      </c>
      <c r="J42" s="15">
        <f>ROUND(F42*G42,2)</f>
        <v>0</v>
      </c>
      <c r="K42" s="15">
        <v>0.0007</v>
      </c>
      <c r="L42" s="15">
        <f>F42*K42</f>
        <v>0.47432</v>
      </c>
      <c r="M42" s="27" t="s">
        <v>360</v>
      </c>
      <c r="N42" s="27" t="s">
        <v>7</v>
      </c>
      <c r="O42" s="15">
        <f>IF(N42="5",I42,0)</f>
        <v>0</v>
      </c>
      <c r="Z42" s="15">
        <f>IF(AD42=0,J42,0)</f>
        <v>0</v>
      </c>
      <c r="AA42" s="15">
        <f>IF(AD42=15,J42,0)</f>
        <v>0</v>
      </c>
      <c r="AB42" s="15">
        <f>IF(AD42=21,J42,0)</f>
        <v>0</v>
      </c>
      <c r="AD42" s="32">
        <v>21</v>
      </c>
      <c r="AE42" s="32">
        <f>G42*0.17085798816568</f>
        <v>0</v>
      </c>
      <c r="AF42" s="32">
        <f>G42*(1-0.17085798816568)</f>
        <v>0</v>
      </c>
    </row>
    <row r="43" spans="1:32" ht="12.75">
      <c r="A43" s="5" t="s">
        <v>33</v>
      </c>
      <c r="B43" s="5" t="s">
        <v>107</v>
      </c>
      <c r="C43" s="5" t="s">
        <v>135</v>
      </c>
      <c r="D43" s="5" t="s">
        <v>244</v>
      </c>
      <c r="E43" s="5" t="s">
        <v>336</v>
      </c>
      <c r="F43" s="15">
        <v>677.6</v>
      </c>
      <c r="G43" s="15"/>
      <c r="H43" s="15">
        <f>ROUND(F43*AE43,2)</f>
        <v>0</v>
      </c>
      <c r="I43" s="15">
        <f>J43-H43</f>
        <v>0</v>
      </c>
      <c r="J43" s="15">
        <f>ROUND(F43*G43,2)</f>
        <v>0</v>
      </c>
      <c r="K43" s="15">
        <v>0</v>
      </c>
      <c r="L43" s="15">
        <f>F43*K43</f>
        <v>0</v>
      </c>
      <c r="M43" s="27" t="s">
        <v>360</v>
      </c>
      <c r="N43" s="27" t="s">
        <v>7</v>
      </c>
      <c r="O43" s="15">
        <f>IF(N43="5",I43,0)</f>
        <v>0</v>
      </c>
      <c r="Z43" s="15">
        <f>IF(AD43=0,J43,0)</f>
        <v>0</v>
      </c>
      <c r="AA43" s="15">
        <f>IF(AD43=15,J43,0)</f>
        <v>0</v>
      </c>
      <c r="AB43" s="15">
        <f>IF(AD43=21,J43,0)</f>
        <v>0</v>
      </c>
      <c r="AD43" s="32">
        <v>21</v>
      </c>
      <c r="AE43" s="32">
        <f>G43*0</f>
        <v>0</v>
      </c>
      <c r="AF43" s="32">
        <f>G43*(1-0)</f>
        <v>0</v>
      </c>
    </row>
    <row r="44" spans="1:37" ht="12.75">
      <c r="A44" s="4"/>
      <c r="B44" s="12" t="s">
        <v>107</v>
      </c>
      <c r="C44" s="12" t="s">
        <v>22</v>
      </c>
      <c r="D44" s="57" t="s">
        <v>245</v>
      </c>
      <c r="E44" s="58"/>
      <c r="F44" s="58"/>
      <c r="G44" s="58"/>
      <c r="H44" s="34">
        <f>SUM(H45:H53)</f>
        <v>0</v>
      </c>
      <c r="I44" s="34">
        <f>SUM(I45:I53)</f>
        <v>0</v>
      </c>
      <c r="J44" s="34">
        <f>H44+I44</f>
        <v>0</v>
      </c>
      <c r="K44" s="24"/>
      <c r="L44" s="34">
        <f>SUM(L45:L53)</f>
        <v>0</v>
      </c>
      <c r="M44" s="24"/>
      <c r="P44" s="34">
        <f>IF(Q44="PR",J44,SUM(O45:O53))</f>
        <v>0</v>
      </c>
      <c r="Q44" s="24" t="s">
        <v>364</v>
      </c>
      <c r="R44" s="34">
        <f>IF(Q44="HS",H44,0)</f>
        <v>0</v>
      </c>
      <c r="S44" s="34">
        <f>IF(Q44="HS",I44-P44,0)</f>
        <v>0</v>
      </c>
      <c r="T44" s="34">
        <f>IF(Q44="PS",H44,0)</f>
        <v>0</v>
      </c>
      <c r="U44" s="34">
        <f>IF(Q44="PS",I44-P44,0)</f>
        <v>0</v>
      </c>
      <c r="V44" s="34">
        <f>IF(Q44="MP",H44,0)</f>
        <v>0</v>
      </c>
      <c r="W44" s="34">
        <f>IF(Q44="MP",I44-P44,0)</f>
        <v>0</v>
      </c>
      <c r="X44" s="34">
        <f>IF(Q44="OM",H44,0)</f>
        <v>0</v>
      </c>
      <c r="Y44" s="24" t="s">
        <v>107</v>
      </c>
      <c r="AI44" s="34">
        <f>SUM(Z45:Z53)</f>
        <v>0</v>
      </c>
      <c r="AJ44" s="34">
        <f>SUM(AA45:AA53)</f>
        <v>0</v>
      </c>
      <c r="AK44" s="34">
        <f>SUM(AB45:AB53)</f>
        <v>0</v>
      </c>
    </row>
    <row r="45" spans="1:32" ht="12.75">
      <c r="A45" s="5" t="s">
        <v>34</v>
      </c>
      <c r="B45" s="5" t="s">
        <v>107</v>
      </c>
      <c r="C45" s="5" t="s">
        <v>136</v>
      </c>
      <c r="D45" s="5" t="s">
        <v>246</v>
      </c>
      <c r="E45" s="5" t="s">
        <v>337</v>
      </c>
      <c r="F45" s="15">
        <v>455.03</v>
      </c>
      <c r="G45" s="15"/>
      <c r="H45" s="15">
        <f aca="true" t="shared" si="18" ref="H45:H53">ROUND(F45*AE45,2)</f>
        <v>0</v>
      </c>
      <c r="I45" s="15">
        <f aca="true" t="shared" si="19" ref="I45:I53">J45-H45</f>
        <v>0</v>
      </c>
      <c r="J45" s="15">
        <f aca="true" t="shared" si="20" ref="J45:J53">ROUND(F45*G45,2)</f>
        <v>0</v>
      </c>
      <c r="K45" s="15">
        <v>0</v>
      </c>
      <c r="L45" s="15">
        <f aca="true" t="shared" si="21" ref="L45:L53">F45*K45</f>
        <v>0</v>
      </c>
      <c r="M45" s="27" t="s">
        <v>360</v>
      </c>
      <c r="N45" s="27" t="s">
        <v>7</v>
      </c>
      <c r="O45" s="15">
        <f aca="true" t="shared" si="22" ref="O45:O53">IF(N45="5",I45,0)</f>
        <v>0</v>
      </c>
      <c r="Z45" s="15">
        <f aca="true" t="shared" si="23" ref="Z45:Z53">IF(AD45=0,J45,0)</f>
        <v>0</v>
      </c>
      <c r="AA45" s="15">
        <f aca="true" t="shared" si="24" ref="AA45:AA53">IF(AD45=15,J45,0)</f>
        <v>0</v>
      </c>
      <c r="AB45" s="15">
        <f aca="true" t="shared" si="25" ref="AB45:AB53">IF(AD45=21,J45,0)</f>
        <v>0</v>
      </c>
      <c r="AD45" s="32">
        <v>21</v>
      </c>
      <c r="AE45" s="32">
        <f aca="true" t="shared" si="26" ref="AE45:AE53">G45*0</f>
        <v>0</v>
      </c>
      <c r="AF45" s="32">
        <f aca="true" t="shared" si="27" ref="AF45:AF53">G45*(1-0)</f>
        <v>0</v>
      </c>
    </row>
    <row r="46" spans="1:32" ht="12.75">
      <c r="A46" s="5" t="s">
        <v>35</v>
      </c>
      <c r="B46" s="5" t="s">
        <v>107</v>
      </c>
      <c r="C46" s="5" t="s">
        <v>137</v>
      </c>
      <c r="D46" s="5" t="s">
        <v>247</v>
      </c>
      <c r="E46" s="5" t="s">
        <v>337</v>
      </c>
      <c r="F46" s="15">
        <v>247.92</v>
      </c>
      <c r="G46" s="15"/>
      <c r="H46" s="15">
        <f t="shared" si="18"/>
        <v>0</v>
      </c>
      <c r="I46" s="15">
        <f t="shared" si="19"/>
        <v>0</v>
      </c>
      <c r="J46" s="15">
        <f t="shared" si="20"/>
        <v>0</v>
      </c>
      <c r="K46" s="15">
        <v>0</v>
      </c>
      <c r="L46" s="15">
        <f t="shared" si="21"/>
        <v>0</v>
      </c>
      <c r="M46" s="27" t="s">
        <v>360</v>
      </c>
      <c r="N46" s="27" t="s">
        <v>7</v>
      </c>
      <c r="O46" s="15">
        <f t="shared" si="22"/>
        <v>0</v>
      </c>
      <c r="Z46" s="15">
        <f t="shared" si="23"/>
        <v>0</v>
      </c>
      <c r="AA46" s="15">
        <f t="shared" si="24"/>
        <v>0</v>
      </c>
      <c r="AB46" s="15">
        <f t="shared" si="25"/>
        <v>0</v>
      </c>
      <c r="AD46" s="32">
        <v>21</v>
      </c>
      <c r="AE46" s="32">
        <f t="shared" si="26"/>
        <v>0</v>
      </c>
      <c r="AF46" s="32">
        <f t="shared" si="27"/>
        <v>0</v>
      </c>
    </row>
    <row r="47" spans="1:32" ht="12.75">
      <c r="A47" s="5" t="s">
        <v>36</v>
      </c>
      <c r="B47" s="5" t="s">
        <v>107</v>
      </c>
      <c r="C47" s="5" t="s">
        <v>138</v>
      </c>
      <c r="D47" s="5" t="s">
        <v>248</v>
      </c>
      <c r="E47" s="5" t="s">
        <v>337</v>
      </c>
      <c r="F47" s="15">
        <v>207.11</v>
      </c>
      <c r="G47" s="15"/>
      <c r="H47" s="15">
        <f t="shared" si="18"/>
        <v>0</v>
      </c>
      <c r="I47" s="15">
        <f t="shared" si="19"/>
        <v>0</v>
      </c>
      <c r="J47" s="15">
        <f t="shared" si="20"/>
        <v>0</v>
      </c>
      <c r="K47" s="15">
        <v>0</v>
      </c>
      <c r="L47" s="15">
        <f t="shared" si="21"/>
        <v>0</v>
      </c>
      <c r="M47" s="27" t="s">
        <v>360</v>
      </c>
      <c r="N47" s="27" t="s">
        <v>7</v>
      </c>
      <c r="O47" s="15">
        <f t="shared" si="22"/>
        <v>0</v>
      </c>
      <c r="Z47" s="15">
        <f t="shared" si="23"/>
        <v>0</v>
      </c>
      <c r="AA47" s="15">
        <f t="shared" si="24"/>
        <v>0</v>
      </c>
      <c r="AB47" s="15">
        <f t="shared" si="25"/>
        <v>0</v>
      </c>
      <c r="AD47" s="32">
        <v>21</v>
      </c>
      <c r="AE47" s="32">
        <f t="shared" si="26"/>
        <v>0</v>
      </c>
      <c r="AF47" s="32">
        <f t="shared" si="27"/>
        <v>0</v>
      </c>
    </row>
    <row r="48" spans="1:32" ht="12.75">
      <c r="A48" s="5" t="s">
        <v>37</v>
      </c>
      <c r="B48" s="5" t="s">
        <v>107</v>
      </c>
      <c r="C48" s="5" t="s">
        <v>139</v>
      </c>
      <c r="D48" s="5" t="s">
        <v>249</v>
      </c>
      <c r="E48" s="5" t="s">
        <v>337</v>
      </c>
      <c r="F48" s="15">
        <v>207.11</v>
      </c>
      <c r="G48" s="15"/>
      <c r="H48" s="15">
        <f t="shared" si="18"/>
        <v>0</v>
      </c>
      <c r="I48" s="15">
        <f t="shared" si="19"/>
        <v>0</v>
      </c>
      <c r="J48" s="15">
        <f t="shared" si="20"/>
        <v>0</v>
      </c>
      <c r="K48" s="15">
        <v>0</v>
      </c>
      <c r="L48" s="15">
        <f t="shared" si="21"/>
        <v>0</v>
      </c>
      <c r="M48" s="27" t="s">
        <v>360</v>
      </c>
      <c r="N48" s="27" t="s">
        <v>7</v>
      </c>
      <c r="O48" s="15">
        <f t="shared" si="22"/>
        <v>0</v>
      </c>
      <c r="Z48" s="15">
        <f t="shared" si="23"/>
        <v>0</v>
      </c>
      <c r="AA48" s="15">
        <f t="shared" si="24"/>
        <v>0</v>
      </c>
      <c r="AB48" s="15">
        <f t="shared" si="25"/>
        <v>0</v>
      </c>
      <c r="AD48" s="32">
        <v>21</v>
      </c>
      <c r="AE48" s="32">
        <f t="shared" si="26"/>
        <v>0</v>
      </c>
      <c r="AF48" s="32">
        <f t="shared" si="27"/>
        <v>0</v>
      </c>
    </row>
    <row r="49" spans="1:32" ht="12.75">
      <c r="A49" s="5" t="s">
        <v>38</v>
      </c>
      <c r="B49" s="5" t="s">
        <v>107</v>
      </c>
      <c r="C49" s="5" t="s">
        <v>139</v>
      </c>
      <c r="D49" s="5" t="s">
        <v>249</v>
      </c>
      <c r="E49" s="5" t="s">
        <v>337</v>
      </c>
      <c r="F49" s="15">
        <v>207.11</v>
      </c>
      <c r="G49" s="15"/>
      <c r="H49" s="15">
        <f t="shared" si="18"/>
        <v>0</v>
      </c>
      <c r="I49" s="15">
        <f t="shared" si="19"/>
        <v>0</v>
      </c>
      <c r="J49" s="15">
        <f t="shared" si="20"/>
        <v>0</v>
      </c>
      <c r="K49" s="15">
        <v>0</v>
      </c>
      <c r="L49" s="15">
        <f t="shared" si="21"/>
        <v>0</v>
      </c>
      <c r="M49" s="27" t="s">
        <v>360</v>
      </c>
      <c r="N49" s="27" t="s">
        <v>7</v>
      </c>
      <c r="O49" s="15">
        <f t="shared" si="22"/>
        <v>0</v>
      </c>
      <c r="Z49" s="15">
        <f t="shared" si="23"/>
        <v>0</v>
      </c>
      <c r="AA49" s="15">
        <f t="shared" si="24"/>
        <v>0</v>
      </c>
      <c r="AB49" s="15">
        <f t="shared" si="25"/>
        <v>0</v>
      </c>
      <c r="AD49" s="32">
        <v>21</v>
      </c>
      <c r="AE49" s="32">
        <f t="shared" si="26"/>
        <v>0</v>
      </c>
      <c r="AF49" s="32">
        <f t="shared" si="27"/>
        <v>0</v>
      </c>
    </row>
    <row r="50" spans="1:32" ht="12.75">
      <c r="A50" s="5" t="s">
        <v>39</v>
      </c>
      <c r="B50" s="5" t="s">
        <v>107</v>
      </c>
      <c r="C50" s="5" t="s">
        <v>139</v>
      </c>
      <c r="D50" s="5" t="s">
        <v>249</v>
      </c>
      <c r="E50" s="5" t="s">
        <v>337</v>
      </c>
      <c r="F50" s="15">
        <v>207.11</v>
      </c>
      <c r="G50" s="15"/>
      <c r="H50" s="15">
        <f t="shared" si="18"/>
        <v>0</v>
      </c>
      <c r="I50" s="15">
        <f t="shared" si="19"/>
        <v>0</v>
      </c>
      <c r="J50" s="15">
        <f t="shared" si="20"/>
        <v>0</v>
      </c>
      <c r="K50" s="15">
        <v>0</v>
      </c>
      <c r="L50" s="15">
        <f t="shared" si="21"/>
        <v>0</v>
      </c>
      <c r="M50" s="27" t="s">
        <v>360</v>
      </c>
      <c r="N50" s="27" t="s">
        <v>7</v>
      </c>
      <c r="O50" s="15">
        <f t="shared" si="22"/>
        <v>0</v>
      </c>
      <c r="Z50" s="15">
        <f t="shared" si="23"/>
        <v>0</v>
      </c>
      <c r="AA50" s="15">
        <f t="shared" si="24"/>
        <v>0</v>
      </c>
      <c r="AB50" s="15">
        <f t="shared" si="25"/>
        <v>0</v>
      </c>
      <c r="AD50" s="32">
        <v>21</v>
      </c>
      <c r="AE50" s="32">
        <f t="shared" si="26"/>
        <v>0</v>
      </c>
      <c r="AF50" s="32">
        <f t="shared" si="27"/>
        <v>0</v>
      </c>
    </row>
    <row r="51" spans="1:32" ht="12.75">
      <c r="A51" s="5" t="s">
        <v>40</v>
      </c>
      <c r="B51" s="5" t="s">
        <v>107</v>
      </c>
      <c r="C51" s="5" t="s">
        <v>139</v>
      </c>
      <c r="D51" s="5" t="s">
        <v>249</v>
      </c>
      <c r="E51" s="5" t="s">
        <v>337</v>
      </c>
      <c r="F51" s="15">
        <v>207.11</v>
      </c>
      <c r="G51" s="15"/>
      <c r="H51" s="15">
        <f t="shared" si="18"/>
        <v>0</v>
      </c>
      <c r="I51" s="15">
        <f t="shared" si="19"/>
        <v>0</v>
      </c>
      <c r="J51" s="15">
        <f t="shared" si="20"/>
        <v>0</v>
      </c>
      <c r="K51" s="15">
        <v>0</v>
      </c>
      <c r="L51" s="15">
        <f t="shared" si="21"/>
        <v>0</v>
      </c>
      <c r="M51" s="27" t="s">
        <v>360</v>
      </c>
      <c r="N51" s="27" t="s">
        <v>7</v>
      </c>
      <c r="O51" s="15">
        <f t="shared" si="22"/>
        <v>0</v>
      </c>
      <c r="Z51" s="15">
        <f t="shared" si="23"/>
        <v>0</v>
      </c>
      <c r="AA51" s="15">
        <f t="shared" si="24"/>
        <v>0</v>
      </c>
      <c r="AB51" s="15">
        <f t="shared" si="25"/>
        <v>0</v>
      </c>
      <c r="AD51" s="32">
        <v>21</v>
      </c>
      <c r="AE51" s="32">
        <f t="shared" si="26"/>
        <v>0</v>
      </c>
      <c r="AF51" s="32">
        <f t="shared" si="27"/>
        <v>0</v>
      </c>
    </row>
    <row r="52" spans="1:32" ht="12.75">
      <c r="A52" s="5" t="s">
        <v>41</v>
      </c>
      <c r="B52" s="5" t="s">
        <v>107</v>
      </c>
      <c r="C52" s="5" t="s">
        <v>140</v>
      </c>
      <c r="D52" s="5" t="s">
        <v>250</v>
      </c>
      <c r="E52" s="5" t="s">
        <v>337</v>
      </c>
      <c r="F52" s="15">
        <v>207.11</v>
      </c>
      <c r="G52" s="15"/>
      <c r="H52" s="15">
        <f t="shared" si="18"/>
        <v>0</v>
      </c>
      <c r="I52" s="15">
        <f t="shared" si="19"/>
        <v>0</v>
      </c>
      <c r="J52" s="15">
        <f t="shared" si="20"/>
        <v>0</v>
      </c>
      <c r="K52" s="15">
        <v>0</v>
      </c>
      <c r="L52" s="15">
        <f t="shared" si="21"/>
        <v>0</v>
      </c>
      <c r="M52" s="27" t="s">
        <v>360</v>
      </c>
      <c r="N52" s="27" t="s">
        <v>7</v>
      </c>
      <c r="O52" s="15">
        <f t="shared" si="22"/>
        <v>0</v>
      </c>
      <c r="Z52" s="15">
        <f t="shared" si="23"/>
        <v>0</v>
      </c>
      <c r="AA52" s="15">
        <f t="shared" si="24"/>
        <v>0</v>
      </c>
      <c r="AB52" s="15">
        <f t="shared" si="25"/>
        <v>0</v>
      </c>
      <c r="AD52" s="32">
        <v>21</v>
      </c>
      <c r="AE52" s="32">
        <f t="shared" si="26"/>
        <v>0</v>
      </c>
      <c r="AF52" s="32">
        <f t="shared" si="27"/>
        <v>0</v>
      </c>
    </row>
    <row r="53" spans="1:32" ht="12.75">
      <c r="A53" s="5" t="s">
        <v>42</v>
      </c>
      <c r="B53" s="5" t="s">
        <v>107</v>
      </c>
      <c r="C53" s="5" t="s">
        <v>141</v>
      </c>
      <c r="D53" s="5" t="s">
        <v>251</v>
      </c>
      <c r="E53" s="5" t="s">
        <v>337</v>
      </c>
      <c r="F53" s="15">
        <v>8</v>
      </c>
      <c r="G53" s="15"/>
      <c r="H53" s="15">
        <f t="shared" si="18"/>
        <v>0</v>
      </c>
      <c r="I53" s="15">
        <f t="shared" si="19"/>
        <v>0</v>
      </c>
      <c r="J53" s="15">
        <f t="shared" si="20"/>
        <v>0</v>
      </c>
      <c r="K53" s="15">
        <v>0</v>
      </c>
      <c r="L53" s="15">
        <f t="shared" si="21"/>
        <v>0</v>
      </c>
      <c r="M53" s="27" t="s">
        <v>360</v>
      </c>
      <c r="N53" s="27" t="s">
        <v>7</v>
      </c>
      <c r="O53" s="15">
        <f t="shared" si="22"/>
        <v>0</v>
      </c>
      <c r="Z53" s="15">
        <f t="shared" si="23"/>
        <v>0</v>
      </c>
      <c r="AA53" s="15">
        <f t="shared" si="24"/>
        <v>0</v>
      </c>
      <c r="AB53" s="15">
        <f t="shared" si="25"/>
        <v>0</v>
      </c>
      <c r="AD53" s="32">
        <v>21</v>
      </c>
      <c r="AE53" s="32">
        <f t="shared" si="26"/>
        <v>0</v>
      </c>
      <c r="AF53" s="32">
        <f t="shared" si="27"/>
        <v>0</v>
      </c>
    </row>
    <row r="54" spans="1:37" ht="12.75">
      <c r="A54" s="4"/>
      <c r="B54" s="12" t="s">
        <v>107</v>
      </c>
      <c r="C54" s="12" t="s">
        <v>23</v>
      </c>
      <c r="D54" s="57" t="s">
        <v>252</v>
      </c>
      <c r="E54" s="58"/>
      <c r="F54" s="58"/>
      <c r="G54" s="58"/>
      <c r="H54" s="34">
        <f>SUM(H55:H58)</f>
        <v>0</v>
      </c>
      <c r="I54" s="34">
        <f>SUM(I55:I58)</f>
        <v>0</v>
      </c>
      <c r="J54" s="34">
        <f>H54+I54</f>
        <v>0</v>
      </c>
      <c r="K54" s="24"/>
      <c r="L54" s="34">
        <f>SUM(L55:L58)</f>
        <v>180.523</v>
      </c>
      <c r="M54" s="24"/>
      <c r="P54" s="34">
        <f>IF(Q54="PR",J54,SUM(O55:O58))</f>
        <v>0</v>
      </c>
      <c r="Q54" s="24" t="s">
        <v>364</v>
      </c>
      <c r="R54" s="34">
        <f>IF(Q54="HS",H54,0)</f>
        <v>0</v>
      </c>
      <c r="S54" s="34">
        <f>IF(Q54="HS",I54-P54,0)</f>
        <v>0</v>
      </c>
      <c r="T54" s="34">
        <f>IF(Q54="PS",H54,0)</f>
        <v>0</v>
      </c>
      <c r="U54" s="34">
        <f>IF(Q54="PS",I54-P54,0)</f>
        <v>0</v>
      </c>
      <c r="V54" s="34">
        <f>IF(Q54="MP",H54,0)</f>
        <v>0</v>
      </c>
      <c r="W54" s="34">
        <f>IF(Q54="MP",I54-P54,0)</f>
        <v>0</v>
      </c>
      <c r="X54" s="34">
        <f>IF(Q54="OM",H54,0)</f>
        <v>0</v>
      </c>
      <c r="Y54" s="24" t="s">
        <v>107</v>
      </c>
      <c r="AI54" s="34">
        <f>SUM(Z55:Z58)</f>
        <v>0</v>
      </c>
      <c r="AJ54" s="34">
        <f>SUM(AA55:AA58)</f>
        <v>0</v>
      </c>
      <c r="AK54" s="34">
        <f>SUM(AB55:AB58)</f>
        <v>0</v>
      </c>
    </row>
    <row r="55" spans="1:32" ht="12.75">
      <c r="A55" s="5" t="s">
        <v>43</v>
      </c>
      <c r="B55" s="5" t="s">
        <v>107</v>
      </c>
      <c r="C55" s="5" t="s">
        <v>142</v>
      </c>
      <c r="D55" s="5" t="s">
        <v>253</v>
      </c>
      <c r="E55" s="5" t="s">
        <v>337</v>
      </c>
      <c r="F55" s="15">
        <v>106.19</v>
      </c>
      <c r="G55" s="15"/>
      <c r="H55" s="15">
        <f>ROUND(F55*AE55,2)</f>
        <v>0</v>
      </c>
      <c r="I55" s="15">
        <f>J55-H55</f>
        <v>0</v>
      </c>
      <c r="J55" s="15">
        <f>ROUND(F55*G55,2)</f>
        <v>0</v>
      </c>
      <c r="K55" s="15">
        <v>1.7</v>
      </c>
      <c r="L55" s="15">
        <f>F55*K55</f>
        <v>180.523</v>
      </c>
      <c r="M55" s="27" t="s">
        <v>360</v>
      </c>
      <c r="N55" s="27" t="s">
        <v>7</v>
      </c>
      <c r="O55" s="15">
        <f>IF(N55="5",I55,0)</f>
        <v>0</v>
      </c>
      <c r="Z55" s="15">
        <f>IF(AD55=0,J55,0)</f>
        <v>0</v>
      </c>
      <c r="AA55" s="15">
        <f>IF(AD55=15,J55,0)</f>
        <v>0</v>
      </c>
      <c r="AB55" s="15">
        <f>IF(AD55=21,J55,0)</f>
        <v>0</v>
      </c>
      <c r="AD55" s="32">
        <v>21</v>
      </c>
      <c r="AE55" s="32">
        <f>G55*0.577584134615385</f>
        <v>0</v>
      </c>
      <c r="AF55" s="32">
        <f>G55*(1-0.577584134615385)</f>
        <v>0</v>
      </c>
    </row>
    <row r="56" spans="1:32" ht="12.75">
      <c r="A56" s="5" t="s">
        <v>44</v>
      </c>
      <c r="B56" s="5" t="s">
        <v>107</v>
      </c>
      <c r="C56" s="5" t="s">
        <v>143</v>
      </c>
      <c r="D56" s="5" t="s">
        <v>254</v>
      </c>
      <c r="E56" s="5" t="s">
        <v>337</v>
      </c>
      <c r="F56" s="15">
        <v>247.92</v>
      </c>
      <c r="G56" s="15"/>
      <c r="H56" s="15">
        <f>ROUND(F56*AE56,2)</f>
        <v>0</v>
      </c>
      <c r="I56" s="15">
        <f>J56-H56</f>
        <v>0</v>
      </c>
      <c r="J56" s="15">
        <f>ROUND(F56*G56,2)</f>
        <v>0</v>
      </c>
      <c r="K56" s="15">
        <v>0</v>
      </c>
      <c r="L56" s="15">
        <f>F56*K56</f>
        <v>0</v>
      </c>
      <c r="M56" s="27" t="s">
        <v>360</v>
      </c>
      <c r="N56" s="27" t="s">
        <v>7</v>
      </c>
      <c r="O56" s="15">
        <f>IF(N56="5",I56,0)</f>
        <v>0</v>
      </c>
      <c r="Z56" s="15">
        <f>IF(AD56=0,J56,0)</f>
        <v>0</v>
      </c>
      <c r="AA56" s="15">
        <f>IF(AD56=15,J56,0)</f>
        <v>0</v>
      </c>
      <c r="AB56" s="15">
        <f>IF(AD56=21,J56,0)</f>
        <v>0</v>
      </c>
      <c r="AD56" s="32">
        <v>21</v>
      </c>
      <c r="AE56" s="32">
        <f>G56*0</f>
        <v>0</v>
      </c>
      <c r="AF56" s="32">
        <f>G56*(1-0)</f>
        <v>0</v>
      </c>
    </row>
    <row r="57" spans="1:32" ht="12.75">
      <c r="A57" s="5" t="s">
        <v>45</v>
      </c>
      <c r="B57" s="5" t="s">
        <v>107</v>
      </c>
      <c r="C57" s="5" t="s">
        <v>144</v>
      </c>
      <c r="D57" s="5" t="s">
        <v>255</v>
      </c>
      <c r="E57" s="5" t="s">
        <v>337</v>
      </c>
      <c r="F57" s="15">
        <v>207.11</v>
      </c>
      <c r="G57" s="15"/>
      <c r="H57" s="15">
        <f>ROUND(F57*AE57,2)</f>
        <v>0</v>
      </c>
      <c r="I57" s="15">
        <f>J57-H57</f>
        <v>0</v>
      </c>
      <c r="J57" s="15">
        <f>ROUND(F57*G57,2)</f>
        <v>0</v>
      </c>
      <c r="K57" s="15">
        <v>0</v>
      </c>
      <c r="L57" s="15">
        <f>F57*K57</f>
        <v>0</v>
      </c>
      <c r="M57" s="27" t="s">
        <v>360</v>
      </c>
      <c r="N57" s="27" t="s">
        <v>7</v>
      </c>
      <c r="O57" s="15">
        <f>IF(N57="5",I57,0)</f>
        <v>0</v>
      </c>
      <c r="Z57" s="15">
        <f>IF(AD57=0,J57,0)</f>
        <v>0</v>
      </c>
      <c r="AA57" s="15">
        <f>IF(AD57=15,J57,0)</f>
        <v>0</v>
      </c>
      <c r="AB57" s="15">
        <f>IF(AD57=21,J57,0)</f>
        <v>0</v>
      </c>
      <c r="AD57" s="32">
        <v>21</v>
      </c>
      <c r="AE57" s="32">
        <f>G57*0</f>
        <v>0</v>
      </c>
      <c r="AF57" s="32">
        <f>G57*(1-0)</f>
        <v>0</v>
      </c>
    </row>
    <row r="58" spans="1:32" ht="12.75">
      <c r="A58" s="5" t="s">
        <v>46</v>
      </c>
      <c r="B58" s="5" t="s">
        <v>107</v>
      </c>
      <c r="C58" s="5" t="s">
        <v>145</v>
      </c>
      <c r="D58" s="5" t="s">
        <v>256</v>
      </c>
      <c r="E58" s="5"/>
      <c r="F58" s="15">
        <v>2</v>
      </c>
      <c r="G58" s="15"/>
      <c r="H58" s="15">
        <f>ROUND(F58*AE58,2)</f>
        <v>0</v>
      </c>
      <c r="I58" s="15">
        <f>J58-H58</f>
        <v>0</v>
      </c>
      <c r="J58" s="15">
        <f>ROUND(F58*G58,2)</f>
        <v>0</v>
      </c>
      <c r="K58" s="15">
        <v>0</v>
      </c>
      <c r="L58" s="15">
        <f>F58*K58</f>
        <v>0</v>
      </c>
      <c r="M58" s="27"/>
      <c r="N58" s="27" t="s">
        <v>7</v>
      </c>
      <c r="O58" s="15">
        <f>IF(N58="5",I58,0)</f>
        <v>0</v>
      </c>
      <c r="Z58" s="15">
        <f>IF(AD58=0,J58,0)</f>
        <v>0</v>
      </c>
      <c r="AA58" s="15">
        <f>IF(AD58=15,J58,0)</f>
        <v>0</v>
      </c>
      <c r="AB58" s="15">
        <f>IF(AD58=21,J58,0)</f>
        <v>0</v>
      </c>
      <c r="AD58" s="32">
        <v>21</v>
      </c>
      <c r="AE58" s="32">
        <f>G58*0</f>
        <v>0</v>
      </c>
      <c r="AF58" s="32">
        <f>G58*(1-0)</f>
        <v>0</v>
      </c>
    </row>
    <row r="59" spans="1:37" ht="12.75">
      <c r="A59" s="4"/>
      <c r="B59" s="12" t="s">
        <v>107</v>
      </c>
      <c r="C59" s="12" t="s">
        <v>24</v>
      </c>
      <c r="D59" s="57" t="s">
        <v>257</v>
      </c>
      <c r="E59" s="58"/>
      <c r="F59" s="58"/>
      <c r="G59" s="58"/>
      <c r="H59" s="34">
        <f>SUM(H60:H61)</f>
        <v>0</v>
      </c>
      <c r="I59" s="34">
        <f>SUM(I60:I61)</f>
        <v>0</v>
      </c>
      <c r="J59" s="34">
        <f>H59+I59</f>
        <v>0</v>
      </c>
      <c r="K59" s="24"/>
      <c r="L59" s="34">
        <f>SUM(L60:L61)</f>
        <v>0.000225</v>
      </c>
      <c r="M59" s="24"/>
      <c r="P59" s="34">
        <f>IF(Q59="PR",J59,SUM(O60:O61))</f>
        <v>0</v>
      </c>
      <c r="Q59" s="24" t="s">
        <v>364</v>
      </c>
      <c r="R59" s="34">
        <f>IF(Q59="HS",H59,0)</f>
        <v>0</v>
      </c>
      <c r="S59" s="34">
        <f>IF(Q59="HS",I59-P59,0)</f>
        <v>0</v>
      </c>
      <c r="T59" s="34">
        <f>IF(Q59="PS",H59,0)</f>
        <v>0</v>
      </c>
      <c r="U59" s="34">
        <f>IF(Q59="PS",I59-P59,0)</f>
        <v>0</v>
      </c>
      <c r="V59" s="34">
        <f>IF(Q59="MP",H59,0)</f>
        <v>0</v>
      </c>
      <c r="W59" s="34">
        <f>IF(Q59="MP",I59-P59,0)</f>
        <v>0</v>
      </c>
      <c r="X59" s="34">
        <f>IF(Q59="OM",H59,0)</f>
        <v>0</v>
      </c>
      <c r="Y59" s="24" t="s">
        <v>107</v>
      </c>
      <c r="AI59" s="34">
        <f>SUM(Z60:Z61)</f>
        <v>0</v>
      </c>
      <c r="AJ59" s="34">
        <f>SUM(AA60:AA61)</f>
        <v>0</v>
      </c>
      <c r="AK59" s="34">
        <f>SUM(AB60:AB61)</f>
        <v>0</v>
      </c>
    </row>
    <row r="60" spans="1:32" ht="12.75">
      <c r="A60" s="5" t="s">
        <v>47</v>
      </c>
      <c r="B60" s="5" t="s">
        <v>107</v>
      </c>
      <c r="C60" s="5" t="s">
        <v>146</v>
      </c>
      <c r="D60" s="5" t="s">
        <v>258</v>
      </c>
      <c r="E60" s="5" t="s">
        <v>336</v>
      </c>
      <c r="F60" s="15">
        <v>7.5</v>
      </c>
      <c r="G60" s="15"/>
      <c r="H60" s="15">
        <f>ROUND(F60*AE60,2)</f>
        <v>0</v>
      </c>
      <c r="I60" s="15">
        <f>J60-H60</f>
        <v>0</v>
      </c>
      <c r="J60" s="15">
        <f>ROUND(F60*G60,2)</f>
        <v>0</v>
      </c>
      <c r="K60" s="15">
        <v>0</v>
      </c>
      <c r="L60" s="15">
        <f>F60*K60</f>
        <v>0</v>
      </c>
      <c r="M60" s="27" t="s">
        <v>360</v>
      </c>
      <c r="N60" s="27" t="s">
        <v>7</v>
      </c>
      <c r="O60" s="15">
        <f>IF(N60="5",I60,0)</f>
        <v>0</v>
      </c>
      <c r="Z60" s="15">
        <f>IF(AD60=0,J60,0)</f>
        <v>0</v>
      </c>
      <c r="AA60" s="15">
        <f>IF(AD60=15,J60,0)</f>
        <v>0</v>
      </c>
      <c r="AB60" s="15">
        <f>IF(AD60=21,J60,0)</f>
        <v>0</v>
      </c>
      <c r="AD60" s="32">
        <v>21</v>
      </c>
      <c r="AE60" s="32">
        <f>G60*0</f>
        <v>0</v>
      </c>
      <c r="AF60" s="32">
        <f>G60*(1-0)</f>
        <v>0</v>
      </c>
    </row>
    <row r="61" spans="1:32" ht="12.75">
      <c r="A61" s="5" t="s">
        <v>48</v>
      </c>
      <c r="B61" s="5" t="s">
        <v>107</v>
      </c>
      <c r="C61" s="5" t="s">
        <v>147</v>
      </c>
      <c r="D61" s="5" t="s">
        <v>259</v>
      </c>
      <c r="E61" s="5" t="s">
        <v>336</v>
      </c>
      <c r="F61" s="15">
        <v>7.5</v>
      </c>
      <c r="G61" s="15"/>
      <c r="H61" s="15">
        <f>ROUND(F61*AE61,2)</f>
        <v>0</v>
      </c>
      <c r="I61" s="15">
        <f>J61-H61</f>
        <v>0</v>
      </c>
      <c r="J61" s="15">
        <f>ROUND(F61*G61,2)</f>
        <v>0</v>
      </c>
      <c r="K61" s="15">
        <v>3E-05</v>
      </c>
      <c r="L61" s="15">
        <f>F61*K61</f>
        <v>0.000225</v>
      </c>
      <c r="M61" s="27" t="s">
        <v>360</v>
      </c>
      <c r="N61" s="27" t="s">
        <v>9</v>
      </c>
      <c r="O61" s="15">
        <f>IF(N61="5",I61,0)</f>
        <v>0</v>
      </c>
      <c r="Z61" s="15">
        <f>IF(AD61=0,J61,0)</f>
        <v>0</v>
      </c>
      <c r="AA61" s="15">
        <f>IF(AD61=15,J61,0)</f>
        <v>0</v>
      </c>
      <c r="AB61" s="15">
        <f>IF(AD61=21,J61,0)</f>
        <v>0</v>
      </c>
      <c r="AD61" s="32">
        <v>21</v>
      </c>
      <c r="AE61" s="32">
        <f>G61*0.261059530311305</f>
        <v>0</v>
      </c>
      <c r="AF61" s="32">
        <f>G61*(1-0.261059530311305)</f>
        <v>0</v>
      </c>
    </row>
    <row r="62" spans="1:37" ht="12.75">
      <c r="A62" s="4"/>
      <c r="B62" s="12" t="s">
        <v>107</v>
      </c>
      <c r="C62" s="12" t="s">
        <v>27</v>
      </c>
      <c r="D62" s="57" t="s">
        <v>260</v>
      </c>
      <c r="E62" s="58"/>
      <c r="F62" s="58"/>
      <c r="G62" s="58"/>
      <c r="H62" s="34">
        <f>SUM(H63:H63)</f>
        <v>0</v>
      </c>
      <c r="I62" s="34">
        <f>SUM(I63:I63)</f>
        <v>0</v>
      </c>
      <c r="J62" s="34">
        <f>H62+I62</f>
        <v>0</v>
      </c>
      <c r="K62" s="24"/>
      <c r="L62" s="34">
        <f>SUM(L63:L63)</f>
        <v>36.00828</v>
      </c>
      <c r="M62" s="24"/>
      <c r="P62" s="34">
        <f>IF(Q62="PR",J62,SUM(O63:O63))</f>
        <v>0</v>
      </c>
      <c r="Q62" s="24" t="s">
        <v>364</v>
      </c>
      <c r="R62" s="34">
        <f>IF(Q62="HS",H62,0)</f>
        <v>0</v>
      </c>
      <c r="S62" s="34">
        <f>IF(Q62="HS",I62-P62,0)</f>
        <v>0</v>
      </c>
      <c r="T62" s="34">
        <f>IF(Q62="PS",H62,0)</f>
        <v>0</v>
      </c>
      <c r="U62" s="34">
        <f>IF(Q62="PS",I62-P62,0)</f>
        <v>0</v>
      </c>
      <c r="V62" s="34">
        <f>IF(Q62="MP",H62,0)</f>
        <v>0</v>
      </c>
      <c r="W62" s="34">
        <f>IF(Q62="MP",I62-P62,0)</f>
        <v>0</v>
      </c>
      <c r="X62" s="34">
        <f>IF(Q62="OM",H62,0)</f>
        <v>0</v>
      </c>
      <c r="Y62" s="24" t="s">
        <v>107</v>
      </c>
      <c r="AI62" s="34">
        <f>SUM(Z63:Z63)</f>
        <v>0</v>
      </c>
      <c r="AJ62" s="34">
        <f>SUM(AA63:AA63)</f>
        <v>0</v>
      </c>
      <c r="AK62" s="34">
        <f>SUM(AB63:AB63)</f>
        <v>0</v>
      </c>
    </row>
    <row r="63" spans="1:32" ht="12.75">
      <c r="A63" s="5" t="s">
        <v>49</v>
      </c>
      <c r="B63" s="5" t="s">
        <v>107</v>
      </c>
      <c r="C63" s="5" t="s">
        <v>148</v>
      </c>
      <c r="D63" s="5" t="s">
        <v>261</v>
      </c>
      <c r="E63" s="5" t="s">
        <v>335</v>
      </c>
      <c r="F63" s="15">
        <v>154</v>
      </c>
      <c r="G63" s="15"/>
      <c r="H63" s="15">
        <f>ROUND(F63*AE63,2)</f>
        <v>0</v>
      </c>
      <c r="I63" s="15">
        <f>J63-H63</f>
        <v>0</v>
      </c>
      <c r="J63" s="15">
        <f>ROUND(F63*G63,2)</f>
        <v>0</v>
      </c>
      <c r="K63" s="15">
        <v>0.23382</v>
      </c>
      <c r="L63" s="15">
        <f>F63*K63</f>
        <v>36.00828</v>
      </c>
      <c r="M63" s="27" t="s">
        <v>360</v>
      </c>
      <c r="N63" s="27" t="s">
        <v>7</v>
      </c>
      <c r="O63" s="15">
        <f>IF(N63="5",I63,0)</f>
        <v>0</v>
      </c>
      <c r="Z63" s="15">
        <f>IF(AD63=0,J63,0)</f>
        <v>0</v>
      </c>
      <c r="AA63" s="15">
        <f>IF(AD63=15,J63,0)</f>
        <v>0</v>
      </c>
      <c r="AB63" s="15">
        <f>IF(AD63=21,J63,0)</f>
        <v>0</v>
      </c>
      <c r="AD63" s="32">
        <v>21</v>
      </c>
      <c r="AE63" s="32">
        <f>G63*0.731263736263736</f>
        <v>0</v>
      </c>
      <c r="AF63" s="32">
        <f>G63*(1-0.731263736263736)</f>
        <v>0</v>
      </c>
    </row>
    <row r="64" spans="1:37" ht="12.75">
      <c r="A64" s="4"/>
      <c r="B64" s="12" t="s">
        <v>107</v>
      </c>
      <c r="C64" s="12" t="s">
        <v>51</v>
      </c>
      <c r="D64" s="57" t="s">
        <v>262</v>
      </c>
      <c r="E64" s="58"/>
      <c r="F64" s="58"/>
      <c r="G64" s="58"/>
      <c r="H64" s="34">
        <f>SUM(H65:H65)</f>
        <v>0</v>
      </c>
      <c r="I64" s="34">
        <f>SUM(I65:I65)</f>
        <v>0</v>
      </c>
      <c r="J64" s="34">
        <f>H64+I64</f>
        <v>0</v>
      </c>
      <c r="K64" s="24"/>
      <c r="L64" s="34">
        <f>SUM(L65:L65)</f>
        <v>26.538768000000005</v>
      </c>
      <c r="M64" s="24"/>
      <c r="P64" s="34">
        <f>IF(Q64="PR",J64,SUM(O65:O65))</f>
        <v>0</v>
      </c>
      <c r="Q64" s="24" t="s">
        <v>364</v>
      </c>
      <c r="R64" s="34">
        <f>IF(Q64="HS",H64,0)</f>
        <v>0</v>
      </c>
      <c r="S64" s="34">
        <f>IF(Q64="HS",I64-P64,0)</f>
        <v>0</v>
      </c>
      <c r="T64" s="34">
        <f>IF(Q64="PS",H64,0)</f>
        <v>0</v>
      </c>
      <c r="U64" s="34">
        <f>IF(Q64="PS",I64-P64,0)</f>
        <v>0</v>
      </c>
      <c r="V64" s="34">
        <f>IF(Q64="MP",H64,0)</f>
        <v>0</v>
      </c>
      <c r="W64" s="34">
        <f>IF(Q64="MP",I64-P64,0)</f>
        <v>0</v>
      </c>
      <c r="X64" s="34">
        <f>IF(Q64="OM",H64,0)</f>
        <v>0</v>
      </c>
      <c r="Y64" s="24" t="s">
        <v>107</v>
      </c>
      <c r="AI64" s="34">
        <f>SUM(Z65:Z65)</f>
        <v>0</v>
      </c>
      <c r="AJ64" s="34">
        <f>SUM(AA65:AA65)</f>
        <v>0</v>
      </c>
      <c r="AK64" s="34">
        <f>SUM(AB65:AB65)</f>
        <v>0</v>
      </c>
    </row>
    <row r="65" spans="1:32" ht="12.75">
      <c r="A65" s="5" t="s">
        <v>50</v>
      </c>
      <c r="B65" s="5" t="s">
        <v>107</v>
      </c>
      <c r="C65" s="5" t="s">
        <v>149</v>
      </c>
      <c r="D65" s="5" t="s">
        <v>263</v>
      </c>
      <c r="E65" s="5" t="s">
        <v>337</v>
      </c>
      <c r="F65" s="15">
        <v>23.44</v>
      </c>
      <c r="G65" s="15"/>
      <c r="H65" s="15">
        <f>ROUND(F65*AE65,2)</f>
        <v>0</v>
      </c>
      <c r="I65" s="15">
        <f>J65-H65</f>
        <v>0</v>
      </c>
      <c r="J65" s="15">
        <f>ROUND(F65*G65,2)</f>
        <v>0</v>
      </c>
      <c r="K65" s="15">
        <v>1.1322</v>
      </c>
      <c r="L65" s="15">
        <f>F65*K65</f>
        <v>26.538768000000005</v>
      </c>
      <c r="M65" s="27" t="s">
        <v>360</v>
      </c>
      <c r="N65" s="27" t="s">
        <v>7</v>
      </c>
      <c r="O65" s="15">
        <f>IF(N65="5",I65,0)</f>
        <v>0</v>
      </c>
      <c r="Z65" s="15">
        <f>IF(AD65=0,J65,0)</f>
        <v>0</v>
      </c>
      <c r="AA65" s="15">
        <f>IF(AD65=15,J65,0)</f>
        <v>0</v>
      </c>
      <c r="AB65" s="15">
        <f>IF(AD65=21,J65,0)</f>
        <v>0</v>
      </c>
      <c r="AD65" s="32">
        <v>21</v>
      </c>
      <c r="AE65" s="32">
        <f>G65*0.47563491304526</f>
        <v>0</v>
      </c>
      <c r="AF65" s="32">
        <f>G65*(1-0.47563491304526)</f>
        <v>0</v>
      </c>
    </row>
    <row r="66" spans="1:37" ht="12.75">
      <c r="A66" s="4"/>
      <c r="B66" s="12" t="s">
        <v>107</v>
      </c>
      <c r="C66" s="12" t="s">
        <v>62</v>
      </c>
      <c r="D66" s="57" t="s">
        <v>264</v>
      </c>
      <c r="E66" s="58"/>
      <c r="F66" s="58"/>
      <c r="G66" s="58"/>
      <c r="H66" s="34">
        <f>SUM(H67:H67)</f>
        <v>0</v>
      </c>
      <c r="I66" s="34">
        <f>SUM(I67:I67)</f>
        <v>0</v>
      </c>
      <c r="J66" s="34">
        <f>H66+I66</f>
        <v>0</v>
      </c>
      <c r="K66" s="24"/>
      <c r="L66" s="34">
        <f>SUM(L67:L67)</f>
        <v>73.520964</v>
      </c>
      <c r="M66" s="24"/>
      <c r="P66" s="34">
        <f>IF(Q66="PR",J66,SUM(O67:O67))</f>
        <v>0</v>
      </c>
      <c r="Q66" s="24" t="s">
        <v>364</v>
      </c>
      <c r="R66" s="34">
        <f>IF(Q66="HS",H66,0)</f>
        <v>0</v>
      </c>
      <c r="S66" s="34">
        <f>IF(Q66="HS",I66-P66,0)</f>
        <v>0</v>
      </c>
      <c r="T66" s="34">
        <f>IF(Q66="PS",H66,0)</f>
        <v>0</v>
      </c>
      <c r="U66" s="34">
        <f>IF(Q66="PS",I66-P66,0)</f>
        <v>0</v>
      </c>
      <c r="V66" s="34">
        <f>IF(Q66="MP",H66,0)</f>
        <v>0</v>
      </c>
      <c r="W66" s="34">
        <f>IF(Q66="MP",I66-P66,0)</f>
        <v>0</v>
      </c>
      <c r="X66" s="34">
        <f>IF(Q66="OM",H66,0)</f>
        <v>0</v>
      </c>
      <c r="Y66" s="24" t="s">
        <v>107</v>
      </c>
      <c r="AI66" s="34">
        <f>SUM(Z67:Z67)</f>
        <v>0</v>
      </c>
      <c r="AJ66" s="34">
        <f>SUM(AA67:AA67)</f>
        <v>0</v>
      </c>
      <c r="AK66" s="34">
        <f>SUM(AB67:AB67)</f>
        <v>0</v>
      </c>
    </row>
    <row r="67" spans="1:32" ht="12.75">
      <c r="A67" s="5" t="s">
        <v>51</v>
      </c>
      <c r="B67" s="5" t="s">
        <v>107</v>
      </c>
      <c r="C67" s="5" t="s">
        <v>150</v>
      </c>
      <c r="D67" s="5" t="s">
        <v>265</v>
      </c>
      <c r="E67" s="5" t="s">
        <v>336</v>
      </c>
      <c r="F67" s="15">
        <v>190.8</v>
      </c>
      <c r="G67" s="15"/>
      <c r="H67" s="15">
        <f>ROUND(F67*AE67,2)</f>
        <v>0</v>
      </c>
      <c r="I67" s="15">
        <f>J67-H67</f>
        <v>0</v>
      </c>
      <c r="J67" s="15">
        <f>ROUND(F67*G67,2)</f>
        <v>0</v>
      </c>
      <c r="K67" s="15">
        <v>0.38533</v>
      </c>
      <c r="L67" s="15">
        <f>F67*K67</f>
        <v>73.520964</v>
      </c>
      <c r="M67" s="27" t="s">
        <v>360</v>
      </c>
      <c r="N67" s="27" t="s">
        <v>7</v>
      </c>
      <c r="O67" s="15">
        <f>IF(N67="5",I67,0)</f>
        <v>0</v>
      </c>
      <c r="Z67" s="15">
        <f>IF(AD67=0,J67,0)</f>
        <v>0</v>
      </c>
      <c r="AA67" s="15">
        <f>IF(AD67=15,J67,0)</f>
        <v>0</v>
      </c>
      <c r="AB67" s="15">
        <f>IF(AD67=21,J67,0)</f>
        <v>0</v>
      </c>
      <c r="AD67" s="32">
        <v>21</v>
      </c>
      <c r="AE67" s="32">
        <f>G67*0.868791925656963</f>
        <v>0</v>
      </c>
      <c r="AF67" s="32">
        <f>G67*(1-0.868791925656963)</f>
        <v>0</v>
      </c>
    </row>
    <row r="68" spans="1:37" ht="12.75">
      <c r="A68" s="4"/>
      <c r="B68" s="12" t="s">
        <v>107</v>
      </c>
      <c r="C68" s="12" t="s">
        <v>63</v>
      </c>
      <c r="D68" s="57" t="s">
        <v>266</v>
      </c>
      <c r="E68" s="58"/>
      <c r="F68" s="58"/>
      <c r="G68" s="58"/>
      <c r="H68" s="34">
        <f>SUM(H69:H70)</f>
        <v>0</v>
      </c>
      <c r="I68" s="34">
        <f>SUM(I69:I70)</f>
        <v>0</v>
      </c>
      <c r="J68" s="34">
        <f>H68+I68</f>
        <v>0</v>
      </c>
      <c r="K68" s="24"/>
      <c r="L68" s="34">
        <f>SUM(L69:L70)</f>
        <v>146.100888</v>
      </c>
      <c r="M68" s="24"/>
      <c r="P68" s="34">
        <f>IF(Q68="PR",J68,SUM(O69:O70))</f>
        <v>0</v>
      </c>
      <c r="Q68" s="24" t="s">
        <v>364</v>
      </c>
      <c r="R68" s="34">
        <f>IF(Q68="HS",H68,0)</f>
        <v>0</v>
      </c>
      <c r="S68" s="34">
        <f>IF(Q68="HS",I68-P68,0)</f>
        <v>0</v>
      </c>
      <c r="T68" s="34">
        <f>IF(Q68="PS",H68,0)</f>
        <v>0</v>
      </c>
      <c r="U68" s="34">
        <f>IF(Q68="PS",I68-P68,0)</f>
        <v>0</v>
      </c>
      <c r="V68" s="34">
        <f>IF(Q68="MP",H68,0)</f>
        <v>0</v>
      </c>
      <c r="W68" s="34">
        <f>IF(Q68="MP",I68-P68,0)</f>
        <v>0</v>
      </c>
      <c r="X68" s="34">
        <f>IF(Q68="OM",H68,0)</f>
        <v>0</v>
      </c>
      <c r="Y68" s="24" t="s">
        <v>107</v>
      </c>
      <c r="AI68" s="34">
        <f>SUM(Z69:Z70)</f>
        <v>0</v>
      </c>
      <c r="AJ68" s="34">
        <f>SUM(AA69:AA70)</f>
        <v>0</v>
      </c>
      <c r="AK68" s="34">
        <f>SUM(AB69:AB70)</f>
        <v>0</v>
      </c>
    </row>
    <row r="69" spans="1:32" ht="12.75">
      <c r="A69" s="5" t="s">
        <v>52</v>
      </c>
      <c r="B69" s="5" t="s">
        <v>107</v>
      </c>
      <c r="C69" s="5" t="s">
        <v>151</v>
      </c>
      <c r="D69" s="5" t="s">
        <v>267</v>
      </c>
      <c r="E69" s="5" t="s">
        <v>336</v>
      </c>
      <c r="F69" s="15">
        <v>190.8</v>
      </c>
      <c r="G69" s="15"/>
      <c r="H69" s="15">
        <f>ROUND(F69*AE69,2)</f>
        <v>0</v>
      </c>
      <c r="I69" s="15">
        <f>J69-H69</f>
        <v>0</v>
      </c>
      <c r="J69" s="15">
        <f>ROUND(F69*G69,2)</f>
        <v>0</v>
      </c>
      <c r="K69" s="15">
        <v>0.12966</v>
      </c>
      <c r="L69" s="15">
        <f>F69*K69</f>
        <v>24.739128</v>
      </c>
      <c r="M69" s="27" t="s">
        <v>360</v>
      </c>
      <c r="N69" s="27" t="s">
        <v>7</v>
      </c>
      <c r="O69" s="15">
        <f>IF(N69="5",I69,0)</f>
        <v>0</v>
      </c>
      <c r="Z69" s="15">
        <f>IF(AD69=0,J69,0)</f>
        <v>0</v>
      </c>
      <c r="AA69" s="15">
        <f>IF(AD69=15,J69,0)</f>
        <v>0</v>
      </c>
      <c r="AB69" s="15">
        <f>IF(AD69=21,J69,0)</f>
        <v>0</v>
      </c>
      <c r="AD69" s="32">
        <v>21</v>
      </c>
      <c r="AE69" s="32">
        <f>G69*0.879185667752443</f>
        <v>0</v>
      </c>
      <c r="AF69" s="32">
        <f>G69*(1-0.879185667752443)</f>
        <v>0</v>
      </c>
    </row>
    <row r="70" spans="1:32" ht="12.75">
      <c r="A70" s="5" t="s">
        <v>53</v>
      </c>
      <c r="B70" s="5" t="s">
        <v>107</v>
      </c>
      <c r="C70" s="5" t="s">
        <v>152</v>
      </c>
      <c r="D70" s="5" t="s">
        <v>268</v>
      </c>
      <c r="E70" s="5" t="s">
        <v>336</v>
      </c>
      <c r="F70" s="15">
        <v>936</v>
      </c>
      <c r="G70" s="15"/>
      <c r="H70" s="15">
        <f>ROUND(F70*AE70,2)</f>
        <v>0</v>
      </c>
      <c r="I70" s="15">
        <f>J70-H70</f>
        <v>0</v>
      </c>
      <c r="J70" s="15">
        <f>ROUND(F70*G70,2)</f>
        <v>0</v>
      </c>
      <c r="K70" s="15">
        <v>0.12966</v>
      </c>
      <c r="L70" s="15">
        <f>F70*K70</f>
        <v>121.36176</v>
      </c>
      <c r="M70" s="27" t="s">
        <v>360</v>
      </c>
      <c r="N70" s="27" t="s">
        <v>7</v>
      </c>
      <c r="O70" s="15">
        <f>IF(N70="5",I70,0)</f>
        <v>0</v>
      </c>
      <c r="Z70" s="15">
        <f>IF(AD70=0,J70,0)</f>
        <v>0</v>
      </c>
      <c r="AA70" s="15">
        <f>IF(AD70=15,J70,0)</f>
        <v>0</v>
      </c>
      <c r="AB70" s="15">
        <f>IF(AD70=21,J70,0)</f>
        <v>0</v>
      </c>
      <c r="AD70" s="32">
        <v>21</v>
      </c>
      <c r="AE70" s="32">
        <f>G70*0.91989817845218</f>
        <v>0</v>
      </c>
      <c r="AF70" s="32">
        <f>G70*(1-0.91989817845218)</f>
        <v>0</v>
      </c>
    </row>
    <row r="71" spans="1:37" ht="12.75">
      <c r="A71" s="4"/>
      <c r="B71" s="12" t="s">
        <v>107</v>
      </c>
      <c r="C71" s="12" t="s">
        <v>65</v>
      </c>
      <c r="D71" s="57" t="s">
        <v>269</v>
      </c>
      <c r="E71" s="58"/>
      <c r="F71" s="58"/>
      <c r="G71" s="58"/>
      <c r="H71" s="34">
        <f>SUM(H72:H73)</f>
        <v>0</v>
      </c>
      <c r="I71" s="34">
        <f>SUM(I72:I73)</f>
        <v>0</v>
      </c>
      <c r="J71" s="34">
        <f>H71+I71</f>
        <v>0</v>
      </c>
      <c r="K71" s="24"/>
      <c r="L71" s="34">
        <f>SUM(L72:L73)</f>
        <v>3.76248</v>
      </c>
      <c r="M71" s="24"/>
      <c r="P71" s="34">
        <f>IF(Q71="PR",J71,SUM(O72:O73))</f>
        <v>0</v>
      </c>
      <c r="Q71" s="24" t="s">
        <v>364</v>
      </c>
      <c r="R71" s="34">
        <f>IF(Q71="HS",H71,0)</f>
        <v>0</v>
      </c>
      <c r="S71" s="34">
        <f>IF(Q71="HS",I71-P71,0)</f>
        <v>0</v>
      </c>
      <c r="T71" s="34">
        <f>IF(Q71="PS",H71,0)</f>
        <v>0</v>
      </c>
      <c r="U71" s="34">
        <f>IF(Q71="PS",I71-P71,0)</f>
        <v>0</v>
      </c>
      <c r="V71" s="34">
        <f>IF(Q71="MP",H71,0)</f>
        <v>0</v>
      </c>
      <c r="W71" s="34">
        <f>IF(Q71="MP",I71-P71,0)</f>
        <v>0</v>
      </c>
      <c r="X71" s="34">
        <f>IF(Q71="OM",H71,0)</f>
        <v>0</v>
      </c>
      <c r="Y71" s="24" t="s">
        <v>107</v>
      </c>
      <c r="AI71" s="34">
        <f>SUM(Z72:Z73)</f>
        <v>0</v>
      </c>
      <c r="AJ71" s="34">
        <f>SUM(AA72:AA73)</f>
        <v>0</v>
      </c>
      <c r="AK71" s="34">
        <f>SUM(AB72:AB73)</f>
        <v>0</v>
      </c>
    </row>
    <row r="72" spans="1:32" ht="12.75">
      <c r="A72" s="5" t="s">
        <v>54</v>
      </c>
      <c r="B72" s="5" t="s">
        <v>107</v>
      </c>
      <c r="C72" s="5" t="s">
        <v>153</v>
      </c>
      <c r="D72" s="5" t="s">
        <v>270</v>
      </c>
      <c r="E72" s="5" t="s">
        <v>335</v>
      </c>
      <c r="F72" s="15">
        <v>12</v>
      </c>
      <c r="G72" s="15"/>
      <c r="H72" s="15">
        <f>ROUND(F72*AE72,2)</f>
        <v>0</v>
      </c>
      <c r="I72" s="15">
        <f>J72-H72</f>
        <v>0</v>
      </c>
      <c r="J72" s="15">
        <f>ROUND(F72*G72,2)</f>
        <v>0</v>
      </c>
      <c r="K72" s="15">
        <v>0.00224</v>
      </c>
      <c r="L72" s="15">
        <f>F72*K72</f>
        <v>0.026879999999999998</v>
      </c>
      <c r="M72" s="27" t="s">
        <v>360</v>
      </c>
      <c r="N72" s="27" t="s">
        <v>7</v>
      </c>
      <c r="O72" s="15">
        <f>IF(N72="5",I72,0)</f>
        <v>0</v>
      </c>
      <c r="Z72" s="15">
        <f>IF(AD72=0,J72,0)</f>
        <v>0</v>
      </c>
      <c r="AA72" s="15">
        <f>IF(AD72=15,J72,0)</f>
        <v>0</v>
      </c>
      <c r="AB72" s="15">
        <f>IF(AD72=21,J72,0)</f>
        <v>0</v>
      </c>
      <c r="AD72" s="32">
        <v>21</v>
      </c>
      <c r="AE72" s="32">
        <f>G72*0.2926</f>
        <v>0</v>
      </c>
      <c r="AF72" s="32">
        <f>G72*(1-0.2926)</f>
        <v>0</v>
      </c>
    </row>
    <row r="73" spans="1:32" ht="12.75">
      <c r="A73" s="5" t="s">
        <v>55</v>
      </c>
      <c r="B73" s="5" t="s">
        <v>107</v>
      </c>
      <c r="C73" s="5" t="s">
        <v>154</v>
      </c>
      <c r="D73" s="5" t="s">
        <v>271</v>
      </c>
      <c r="E73" s="5" t="s">
        <v>336</v>
      </c>
      <c r="F73" s="15">
        <v>33.96</v>
      </c>
      <c r="G73" s="15"/>
      <c r="H73" s="15">
        <f>ROUND(F73*AE73,2)</f>
        <v>0</v>
      </c>
      <c r="I73" s="15">
        <f>J73-H73</f>
        <v>0</v>
      </c>
      <c r="J73" s="15">
        <f>ROUND(F73*G73,2)</f>
        <v>0</v>
      </c>
      <c r="K73" s="15">
        <v>0.11</v>
      </c>
      <c r="L73" s="15">
        <f>F73*K73</f>
        <v>3.7356000000000003</v>
      </c>
      <c r="M73" s="27" t="s">
        <v>360</v>
      </c>
      <c r="N73" s="27" t="s">
        <v>7</v>
      </c>
      <c r="O73" s="15">
        <f>IF(N73="5",I73,0)</f>
        <v>0</v>
      </c>
      <c r="Z73" s="15">
        <f>IF(AD73=0,J73,0)</f>
        <v>0</v>
      </c>
      <c r="AA73" s="15">
        <f>IF(AD73=15,J73,0)</f>
        <v>0</v>
      </c>
      <c r="AB73" s="15">
        <f>IF(AD73=21,J73,0)</f>
        <v>0</v>
      </c>
      <c r="AD73" s="32">
        <v>21</v>
      </c>
      <c r="AE73" s="32">
        <f>G73*0.13021113243762</f>
        <v>0</v>
      </c>
      <c r="AF73" s="32">
        <f>G73*(1-0.13021113243762)</f>
        <v>0</v>
      </c>
    </row>
    <row r="74" spans="1:37" ht="12.75">
      <c r="A74" s="4"/>
      <c r="B74" s="12" t="s">
        <v>107</v>
      </c>
      <c r="C74" s="12" t="s">
        <v>93</v>
      </c>
      <c r="D74" s="57" t="s">
        <v>272</v>
      </c>
      <c r="E74" s="58"/>
      <c r="F74" s="58"/>
      <c r="G74" s="58"/>
      <c r="H74" s="34">
        <f>SUM(H75:H77)</f>
        <v>0</v>
      </c>
      <c r="I74" s="34">
        <f>SUM(I75:I77)</f>
        <v>0</v>
      </c>
      <c r="J74" s="34">
        <f>H74+I74</f>
        <v>0</v>
      </c>
      <c r="K74" s="24"/>
      <c r="L74" s="34">
        <f>SUM(L75:L77)</f>
        <v>0.017329200000000003</v>
      </c>
      <c r="M74" s="24"/>
      <c r="P74" s="34">
        <f>IF(Q74="PR",J74,SUM(O75:O77))</f>
        <v>0</v>
      </c>
      <c r="Q74" s="24" t="s">
        <v>364</v>
      </c>
      <c r="R74" s="34">
        <f>IF(Q74="HS",H74,0)</f>
        <v>0</v>
      </c>
      <c r="S74" s="34">
        <f>IF(Q74="HS",I74-P74,0)</f>
        <v>0</v>
      </c>
      <c r="T74" s="34">
        <f>IF(Q74="PS",H74,0)</f>
        <v>0</v>
      </c>
      <c r="U74" s="34">
        <f>IF(Q74="PS",I74-P74,0)</f>
        <v>0</v>
      </c>
      <c r="V74" s="34">
        <f>IF(Q74="MP",H74,0)</f>
        <v>0</v>
      </c>
      <c r="W74" s="34">
        <f>IF(Q74="MP",I74-P74,0)</f>
        <v>0</v>
      </c>
      <c r="X74" s="34">
        <f>IF(Q74="OM",H74,0)</f>
        <v>0</v>
      </c>
      <c r="Y74" s="24" t="s">
        <v>107</v>
      </c>
      <c r="AI74" s="34">
        <f>SUM(Z75:Z77)</f>
        <v>0</v>
      </c>
      <c r="AJ74" s="34">
        <f>SUM(AA75:AA77)</f>
        <v>0</v>
      </c>
      <c r="AK74" s="34">
        <f>SUM(AB75:AB77)</f>
        <v>0</v>
      </c>
    </row>
    <row r="75" spans="1:32" ht="12.75">
      <c r="A75" s="5" t="s">
        <v>56</v>
      </c>
      <c r="B75" s="5" t="s">
        <v>107</v>
      </c>
      <c r="C75" s="5" t="s">
        <v>155</v>
      </c>
      <c r="D75" s="5" t="s">
        <v>273</v>
      </c>
      <c r="E75" s="5" t="s">
        <v>335</v>
      </c>
      <c r="F75" s="15">
        <v>146.46</v>
      </c>
      <c r="G75" s="15"/>
      <c r="H75" s="15">
        <f>ROUND(F75*AE75,2)</f>
        <v>0</v>
      </c>
      <c r="I75" s="15">
        <f>J75-H75</f>
        <v>0</v>
      </c>
      <c r="J75" s="15">
        <f>ROUND(F75*G75,2)</f>
        <v>0</v>
      </c>
      <c r="K75" s="15">
        <v>0.0001</v>
      </c>
      <c r="L75" s="15">
        <f>F75*K75</f>
        <v>0.014646000000000001</v>
      </c>
      <c r="M75" s="27" t="s">
        <v>360</v>
      </c>
      <c r="N75" s="27" t="s">
        <v>7</v>
      </c>
      <c r="O75" s="15">
        <f>IF(N75="5",I75,0)</f>
        <v>0</v>
      </c>
      <c r="Z75" s="15">
        <f>IF(AD75=0,J75,0)</f>
        <v>0</v>
      </c>
      <c r="AA75" s="15">
        <f>IF(AD75=15,J75,0)</f>
        <v>0</v>
      </c>
      <c r="AB75" s="15">
        <f>IF(AD75=21,J75,0)</f>
        <v>0</v>
      </c>
      <c r="AD75" s="32">
        <v>21</v>
      </c>
      <c r="AE75" s="32">
        <f>G75*0.162332744256501</f>
        <v>0</v>
      </c>
      <c r="AF75" s="32">
        <f>G75*(1-0.162332744256501)</f>
        <v>0</v>
      </c>
    </row>
    <row r="76" spans="1:32" ht="12.75">
      <c r="A76" s="5" t="s">
        <v>57</v>
      </c>
      <c r="B76" s="5" t="s">
        <v>107</v>
      </c>
      <c r="C76" s="5" t="s">
        <v>156</v>
      </c>
      <c r="D76" s="5" t="s">
        <v>274</v>
      </c>
      <c r="E76" s="5" t="s">
        <v>335</v>
      </c>
      <c r="F76" s="15">
        <v>168.32</v>
      </c>
      <c r="G76" s="15"/>
      <c r="H76" s="15">
        <f>ROUND(F76*AE76,2)</f>
        <v>0</v>
      </c>
      <c r="I76" s="15">
        <f>J76-H76</f>
        <v>0</v>
      </c>
      <c r="J76" s="15">
        <f>ROUND(F76*G76,2)</f>
        <v>0</v>
      </c>
      <c r="K76" s="15">
        <v>1E-05</v>
      </c>
      <c r="L76" s="15">
        <f>F76*K76</f>
        <v>0.0016832000000000001</v>
      </c>
      <c r="M76" s="27" t="s">
        <v>360</v>
      </c>
      <c r="N76" s="27" t="s">
        <v>7</v>
      </c>
      <c r="O76" s="15">
        <f>IF(N76="5",I76,0)</f>
        <v>0</v>
      </c>
      <c r="Z76" s="15">
        <f>IF(AD76=0,J76,0)</f>
        <v>0</v>
      </c>
      <c r="AA76" s="15">
        <f>IF(AD76=15,J76,0)</f>
        <v>0</v>
      </c>
      <c r="AB76" s="15">
        <f>IF(AD76=21,J76,0)</f>
        <v>0</v>
      </c>
      <c r="AD76" s="32">
        <v>21</v>
      </c>
      <c r="AE76" s="32">
        <f>G76*0.00603174603174603</f>
        <v>0</v>
      </c>
      <c r="AF76" s="32">
        <f>G76*(1-0.00603174603174603)</f>
        <v>0</v>
      </c>
    </row>
    <row r="77" spans="1:32" ht="12.75">
      <c r="A77" s="5" t="s">
        <v>58</v>
      </c>
      <c r="B77" s="5" t="s">
        <v>107</v>
      </c>
      <c r="C77" s="5" t="s">
        <v>157</v>
      </c>
      <c r="D77" s="5" t="s">
        <v>275</v>
      </c>
      <c r="E77" s="5" t="s">
        <v>338</v>
      </c>
      <c r="F77" s="15">
        <v>20</v>
      </c>
      <c r="G77" s="15"/>
      <c r="H77" s="15">
        <f>ROUND(F77*AE77,2)</f>
        <v>0</v>
      </c>
      <c r="I77" s="15">
        <f>J77-H77</f>
        <v>0</v>
      </c>
      <c r="J77" s="15">
        <f>ROUND(F77*G77,2)</f>
        <v>0</v>
      </c>
      <c r="K77" s="15">
        <v>5E-05</v>
      </c>
      <c r="L77" s="15">
        <f>F77*K77</f>
        <v>0.001</v>
      </c>
      <c r="M77" s="27" t="s">
        <v>360</v>
      </c>
      <c r="N77" s="27" t="s">
        <v>7</v>
      </c>
      <c r="O77" s="15">
        <f>IF(N77="5",I77,0)</f>
        <v>0</v>
      </c>
      <c r="Z77" s="15">
        <f>IF(AD77=0,J77,0)</f>
        <v>0</v>
      </c>
      <c r="AA77" s="15">
        <f>IF(AD77=15,J77,0)</f>
        <v>0</v>
      </c>
      <c r="AB77" s="15">
        <f>IF(AD77=21,J77,0)</f>
        <v>0</v>
      </c>
      <c r="AD77" s="32">
        <v>21</v>
      </c>
      <c r="AE77" s="32">
        <f>G77*0.00888</f>
        <v>0</v>
      </c>
      <c r="AF77" s="32">
        <f>G77*(1-0.00888)</f>
        <v>0</v>
      </c>
    </row>
    <row r="78" spans="1:37" ht="12.75">
      <c r="A78" s="4"/>
      <c r="B78" s="12" t="s">
        <v>107</v>
      </c>
      <c r="C78" s="12" t="s">
        <v>95</v>
      </c>
      <c r="D78" s="57" t="s">
        <v>276</v>
      </c>
      <c r="E78" s="58"/>
      <c r="F78" s="58"/>
      <c r="G78" s="58"/>
      <c r="H78" s="34">
        <f>SUM(H79:H90)</f>
        <v>0</v>
      </c>
      <c r="I78" s="34">
        <f>SUM(I79:I90)</f>
        <v>0</v>
      </c>
      <c r="J78" s="34">
        <f>H78+I78</f>
        <v>0</v>
      </c>
      <c r="K78" s="24"/>
      <c r="L78" s="34">
        <f>SUM(L79:L90)</f>
        <v>35.379349999999995</v>
      </c>
      <c r="M78" s="24"/>
      <c r="P78" s="34">
        <f>IF(Q78="PR",J78,SUM(O79:O90))</f>
        <v>0</v>
      </c>
      <c r="Q78" s="24" t="s">
        <v>364</v>
      </c>
      <c r="R78" s="34">
        <f>IF(Q78="HS",H78,0)</f>
        <v>0</v>
      </c>
      <c r="S78" s="34">
        <f>IF(Q78="HS",I78-P78,0)</f>
        <v>0</v>
      </c>
      <c r="T78" s="34">
        <f>IF(Q78="PS",H78,0)</f>
        <v>0</v>
      </c>
      <c r="U78" s="34">
        <f>IF(Q78="PS",I78-P78,0)</f>
        <v>0</v>
      </c>
      <c r="V78" s="34">
        <f>IF(Q78="MP",H78,0)</f>
        <v>0</v>
      </c>
      <c r="W78" s="34">
        <f>IF(Q78="MP",I78-P78,0)</f>
        <v>0</v>
      </c>
      <c r="X78" s="34">
        <f>IF(Q78="OM",H78,0)</f>
        <v>0</v>
      </c>
      <c r="Y78" s="24" t="s">
        <v>107</v>
      </c>
      <c r="AI78" s="34">
        <f>SUM(Z79:Z90)</f>
        <v>0</v>
      </c>
      <c r="AJ78" s="34">
        <f>SUM(AA79:AA90)</f>
        <v>0</v>
      </c>
      <c r="AK78" s="34">
        <f>SUM(AB79:AB90)</f>
        <v>0</v>
      </c>
    </row>
    <row r="79" spans="1:32" ht="12.75">
      <c r="A79" s="5" t="s">
        <v>59</v>
      </c>
      <c r="B79" s="5" t="s">
        <v>107</v>
      </c>
      <c r="C79" s="5" t="s">
        <v>158</v>
      </c>
      <c r="D79" s="5" t="s">
        <v>277</v>
      </c>
      <c r="E79" s="5" t="s">
        <v>338</v>
      </c>
      <c r="F79" s="15">
        <v>7</v>
      </c>
      <c r="G79" s="15"/>
      <c r="H79" s="15">
        <f aca="true" t="shared" si="28" ref="H79:H90">ROUND(F79*AE79,2)</f>
        <v>0</v>
      </c>
      <c r="I79" s="15">
        <f aca="true" t="shared" si="29" ref="I79:I90">J79-H79</f>
        <v>0</v>
      </c>
      <c r="J79" s="15">
        <f aca="true" t="shared" si="30" ref="J79:J90">ROUND(F79*G79,2)</f>
        <v>0</v>
      </c>
      <c r="K79" s="15">
        <v>3.05967</v>
      </c>
      <c r="L79" s="15">
        <f aca="true" t="shared" si="31" ref="L79:L90">F79*K79</f>
        <v>21.41769</v>
      </c>
      <c r="M79" s="27" t="s">
        <v>360</v>
      </c>
      <c r="N79" s="27" t="s">
        <v>7</v>
      </c>
      <c r="O79" s="15">
        <f aca="true" t="shared" si="32" ref="O79:O90">IF(N79="5",I79,0)</f>
        <v>0</v>
      </c>
      <c r="Z79" s="15">
        <f aca="true" t="shared" si="33" ref="Z79:Z90">IF(AD79=0,J79,0)</f>
        <v>0</v>
      </c>
      <c r="AA79" s="15">
        <f aca="true" t="shared" si="34" ref="AA79:AA90">IF(AD79=15,J79,0)</f>
        <v>0</v>
      </c>
      <c r="AB79" s="15">
        <f aca="true" t="shared" si="35" ref="AB79:AB90">IF(AD79=21,J79,0)</f>
        <v>0</v>
      </c>
      <c r="AD79" s="32">
        <v>21</v>
      </c>
      <c r="AE79" s="32">
        <f>G79*0.823706286117739</f>
        <v>0</v>
      </c>
      <c r="AF79" s="32">
        <f>G79*(1-0.823706286117739)</f>
        <v>0</v>
      </c>
    </row>
    <row r="80" spans="1:32" ht="12.75">
      <c r="A80" s="5" t="s">
        <v>60</v>
      </c>
      <c r="B80" s="5" t="s">
        <v>107</v>
      </c>
      <c r="C80" s="5" t="s">
        <v>159</v>
      </c>
      <c r="D80" s="5" t="s">
        <v>278</v>
      </c>
      <c r="E80" s="5" t="s">
        <v>338</v>
      </c>
      <c r="F80" s="15">
        <v>7</v>
      </c>
      <c r="G80" s="15"/>
      <c r="H80" s="15">
        <f t="shared" si="28"/>
        <v>0</v>
      </c>
      <c r="I80" s="15">
        <f t="shared" si="29"/>
        <v>0</v>
      </c>
      <c r="J80" s="15">
        <f t="shared" si="30"/>
        <v>0</v>
      </c>
      <c r="K80" s="15">
        <v>0.01668</v>
      </c>
      <c r="L80" s="15">
        <f t="shared" si="31"/>
        <v>0.11676</v>
      </c>
      <c r="M80" s="27" t="s">
        <v>360</v>
      </c>
      <c r="N80" s="27" t="s">
        <v>7</v>
      </c>
      <c r="O80" s="15">
        <f t="shared" si="32"/>
        <v>0</v>
      </c>
      <c r="Z80" s="15">
        <f t="shared" si="33"/>
        <v>0</v>
      </c>
      <c r="AA80" s="15">
        <f t="shared" si="34"/>
        <v>0</v>
      </c>
      <c r="AB80" s="15">
        <f t="shared" si="35"/>
        <v>0</v>
      </c>
      <c r="AD80" s="32">
        <v>21</v>
      </c>
      <c r="AE80" s="32">
        <f>G80*0.751915393654524</f>
        <v>0</v>
      </c>
      <c r="AF80" s="32">
        <f>G80*(1-0.751915393654524)</f>
        <v>0</v>
      </c>
    </row>
    <row r="81" spans="1:32" ht="12.75">
      <c r="A81" s="5" t="s">
        <v>61</v>
      </c>
      <c r="B81" s="5" t="s">
        <v>107</v>
      </c>
      <c r="C81" s="5" t="s">
        <v>160</v>
      </c>
      <c r="D81" s="5" t="s">
        <v>279</v>
      </c>
      <c r="E81" s="5" t="s">
        <v>338</v>
      </c>
      <c r="F81" s="15">
        <v>5</v>
      </c>
      <c r="G81" s="15"/>
      <c r="H81" s="15">
        <f t="shared" si="28"/>
        <v>0</v>
      </c>
      <c r="I81" s="15">
        <f t="shared" si="29"/>
        <v>0</v>
      </c>
      <c r="J81" s="15">
        <f t="shared" si="30"/>
        <v>0</v>
      </c>
      <c r="K81" s="15">
        <v>2.21711</v>
      </c>
      <c r="L81" s="15">
        <f t="shared" si="31"/>
        <v>11.08555</v>
      </c>
      <c r="M81" s="27" t="s">
        <v>360</v>
      </c>
      <c r="N81" s="27" t="s">
        <v>7</v>
      </c>
      <c r="O81" s="15">
        <f t="shared" si="32"/>
        <v>0</v>
      </c>
      <c r="Z81" s="15">
        <f t="shared" si="33"/>
        <v>0</v>
      </c>
      <c r="AA81" s="15">
        <f t="shared" si="34"/>
        <v>0</v>
      </c>
      <c r="AB81" s="15">
        <f t="shared" si="35"/>
        <v>0</v>
      </c>
      <c r="AD81" s="32">
        <v>21</v>
      </c>
      <c r="AE81" s="32">
        <f>G81*0.30792458374143</f>
        <v>0</v>
      </c>
      <c r="AF81" s="32">
        <f>G81*(1-0.30792458374143)</f>
        <v>0</v>
      </c>
    </row>
    <row r="82" spans="1:32" ht="12.75">
      <c r="A82" s="5" t="s">
        <v>62</v>
      </c>
      <c r="B82" s="5" t="s">
        <v>107</v>
      </c>
      <c r="C82" s="5" t="s">
        <v>161</v>
      </c>
      <c r="D82" s="5" t="s">
        <v>280</v>
      </c>
      <c r="E82" s="5" t="s">
        <v>338</v>
      </c>
      <c r="F82" s="15">
        <v>5</v>
      </c>
      <c r="G82" s="15"/>
      <c r="H82" s="15">
        <f t="shared" si="28"/>
        <v>0</v>
      </c>
      <c r="I82" s="15">
        <f t="shared" si="29"/>
        <v>0</v>
      </c>
      <c r="J82" s="15">
        <f t="shared" si="30"/>
        <v>0</v>
      </c>
      <c r="K82" s="15">
        <v>0.03682</v>
      </c>
      <c r="L82" s="15">
        <f t="shared" si="31"/>
        <v>0.18409999999999999</v>
      </c>
      <c r="M82" s="27" t="s">
        <v>360</v>
      </c>
      <c r="N82" s="27" t="s">
        <v>7</v>
      </c>
      <c r="O82" s="15">
        <f t="shared" si="32"/>
        <v>0</v>
      </c>
      <c r="Z82" s="15">
        <f t="shared" si="33"/>
        <v>0</v>
      </c>
      <c r="AA82" s="15">
        <f t="shared" si="34"/>
        <v>0</v>
      </c>
      <c r="AB82" s="15">
        <f t="shared" si="35"/>
        <v>0</v>
      </c>
      <c r="AD82" s="32">
        <v>21</v>
      </c>
      <c r="AE82" s="32">
        <f>G82*0.136232782369146</f>
        <v>0</v>
      </c>
      <c r="AF82" s="32">
        <f>G82*(1-0.136232782369146)</f>
        <v>0</v>
      </c>
    </row>
    <row r="83" spans="1:32" ht="12.75">
      <c r="A83" s="5" t="s">
        <v>63</v>
      </c>
      <c r="B83" s="5" t="s">
        <v>107</v>
      </c>
      <c r="C83" s="5" t="s">
        <v>162</v>
      </c>
      <c r="D83" s="5" t="s">
        <v>281</v>
      </c>
      <c r="E83" s="5" t="s">
        <v>338</v>
      </c>
      <c r="F83" s="15">
        <v>5</v>
      </c>
      <c r="G83" s="15"/>
      <c r="H83" s="15">
        <f t="shared" si="28"/>
        <v>0</v>
      </c>
      <c r="I83" s="15">
        <f t="shared" si="29"/>
        <v>0</v>
      </c>
      <c r="J83" s="15">
        <f t="shared" si="30"/>
        <v>0</v>
      </c>
      <c r="K83" s="15">
        <v>0.00936</v>
      </c>
      <c r="L83" s="15">
        <f t="shared" si="31"/>
        <v>0.0468</v>
      </c>
      <c r="M83" s="27" t="s">
        <v>360</v>
      </c>
      <c r="N83" s="27" t="s">
        <v>7</v>
      </c>
      <c r="O83" s="15">
        <f t="shared" si="32"/>
        <v>0</v>
      </c>
      <c r="Z83" s="15">
        <f t="shared" si="33"/>
        <v>0</v>
      </c>
      <c r="AA83" s="15">
        <f t="shared" si="34"/>
        <v>0</v>
      </c>
      <c r="AB83" s="15">
        <f t="shared" si="35"/>
        <v>0</v>
      </c>
      <c r="AD83" s="32">
        <v>21</v>
      </c>
      <c r="AE83" s="32">
        <f>G83*0.0301086956521739</f>
        <v>0</v>
      </c>
      <c r="AF83" s="32">
        <f>G83*(1-0.0301086956521739)</f>
        <v>0</v>
      </c>
    </row>
    <row r="84" spans="1:32" ht="12.75">
      <c r="A84" s="5" t="s">
        <v>64</v>
      </c>
      <c r="B84" s="5" t="s">
        <v>107</v>
      </c>
      <c r="C84" s="5" t="s">
        <v>163</v>
      </c>
      <c r="D84" s="5" t="s">
        <v>282</v>
      </c>
      <c r="E84" s="5" t="s">
        <v>338</v>
      </c>
      <c r="F84" s="15">
        <v>13</v>
      </c>
      <c r="G84" s="15"/>
      <c r="H84" s="15">
        <f t="shared" si="28"/>
        <v>0</v>
      </c>
      <c r="I84" s="15">
        <f t="shared" si="29"/>
        <v>0</v>
      </c>
      <c r="J84" s="15">
        <f t="shared" si="30"/>
        <v>0</v>
      </c>
      <c r="K84" s="15">
        <v>0</v>
      </c>
      <c r="L84" s="15">
        <f t="shared" si="31"/>
        <v>0</v>
      </c>
      <c r="M84" s="27" t="s">
        <v>360</v>
      </c>
      <c r="N84" s="27" t="s">
        <v>7</v>
      </c>
      <c r="O84" s="15">
        <f t="shared" si="32"/>
        <v>0</v>
      </c>
      <c r="Z84" s="15">
        <f t="shared" si="33"/>
        <v>0</v>
      </c>
      <c r="AA84" s="15">
        <f t="shared" si="34"/>
        <v>0</v>
      </c>
      <c r="AB84" s="15">
        <f t="shared" si="35"/>
        <v>0</v>
      </c>
      <c r="AD84" s="32">
        <v>21</v>
      </c>
      <c r="AE84" s="32">
        <f>G84*0</f>
        <v>0</v>
      </c>
      <c r="AF84" s="32">
        <f>G84*(1-0)</f>
        <v>0</v>
      </c>
    </row>
    <row r="85" spans="1:32" ht="12.75">
      <c r="A85" s="5" t="s">
        <v>65</v>
      </c>
      <c r="B85" s="5" t="s">
        <v>107</v>
      </c>
      <c r="C85" s="5" t="s">
        <v>164</v>
      </c>
      <c r="D85" s="5" t="s">
        <v>283</v>
      </c>
      <c r="E85" s="5" t="s">
        <v>337</v>
      </c>
      <c r="F85" s="15">
        <v>1</v>
      </c>
      <c r="G85" s="15"/>
      <c r="H85" s="15">
        <f t="shared" si="28"/>
        <v>0</v>
      </c>
      <c r="I85" s="15">
        <f t="shared" si="29"/>
        <v>0</v>
      </c>
      <c r="J85" s="15">
        <f t="shared" si="30"/>
        <v>0</v>
      </c>
      <c r="K85" s="15">
        <v>2.525</v>
      </c>
      <c r="L85" s="15">
        <f t="shared" si="31"/>
        <v>2.525</v>
      </c>
      <c r="M85" s="27" t="s">
        <v>360</v>
      </c>
      <c r="N85" s="27" t="s">
        <v>7</v>
      </c>
      <c r="O85" s="15">
        <f t="shared" si="32"/>
        <v>0</v>
      </c>
      <c r="Z85" s="15">
        <f t="shared" si="33"/>
        <v>0</v>
      </c>
      <c r="AA85" s="15">
        <f t="shared" si="34"/>
        <v>0</v>
      </c>
      <c r="AB85" s="15">
        <f t="shared" si="35"/>
        <v>0</v>
      </c>
      <c r="AD85" s="32">
        <v>21</v>
      </c>
      <c r="AE85" s="32">
        <f>G85*0.897725815340781</f>
        <v>0</v>
      </c>
      <c r="AF85" s="32">
        <f>G85*(1-0.897725815340781)</f>
        <v>0</v>
      </c>
    </row>
    <row r="86" spans="1:32" ht="12.75">
      <c r="A86" s="5" t="s">
        <v>66</v>
      </c>
      <c r="B86" s="5" t="s">
        <v>107</v>
      </c>
      <c r="C86" s="5" t="s">
        <v>165</v>
      </c>
      <c r="D86" s="5" t="s">
        <v>284</v>
      </c>
      <c r="E86" s="5" t="s">
        <v>335</v>
      </c>
      <c r="F86" s="15">
        <v>154</v>
      </c>
      <c r="G86" s="15"/>
      <c r="H86" s="15">
        <f t="shared" si="28"/>
        <v>0</v>
      </c>
      <c r="I86" s="15">
        <f t="shared" si="29"/>
        <v>0</v>
      </c>
      <c r="J86" s="15">
        <f t="shared" si="30"/>
        <v>0</v>
      </c>
      <c r="K86" s="15">
        <v>0</v>
      </c>
      <c r="L86" s="15">
        <f t="shared" si="31"/>
        <v>0</v>
      </c>
      <c r="M86" s="27" t="s">
        <v>360</v>
      </c>
      <c r="N86" s="27" t="s">
        <v>7</v>
      </c>
      <c r="O86" s="15">
        <f t="shared" si="32"/>
        <v>0</v>
      </c>
      <c r="Z86" s="15">
        <f t="shared" si="33"/>
        <v>0</v>
      </c>
      <c r="AA86" s="15">
        <f t="shared" si="34"/>
        <v>0</v>
      </c>
      <c r="AB86" s="15">
        <f t="shared" si="35"/>
        <v>0</v>
      </c>
      <c r="AD86" s="32">
        <v>21</v>
      </c>
      <c r="AE86" s="32">
        <f>G86*0.116013693419551</f>
        <v>0</v>
      </c>
      <c r="AF86" s="32">
        <f>G86*(1-0.116013693419551)</f>
        <v>0</v>
      </c>
    </row>
    <row r="87" spans="1:32" ht="12.75">
      <c r="A87" s="5" t="s">
        <v>67</v>
      </c>
      <c r="B87" s="5" t="s">
        <v>107</v>
      </c>
      <c r="C87" s="5" t="s">
        <v>166</v>
      </c>
      <c r="D87" s="5" t="s">
        <v>285</v>
      </c>
      <c r="E87" s="5" t="s">
        <v>339</v>
      </c>
      <c r="F87" s="15">
        <v>5</v>
      </c>
      <c r="G87" s="15"/>
      <c r="H87" s="15">
        <f t="shared" si="28"/>
        <v>0</v>
      </c>
      <c r="I87" s="15">
        <f t="shared" si="29"/>
        <v>0</v>
      </c>
      <c r="J87" s="15">
        <f t="shared" si="30"/>
        <v>0</v>
      </c>
      <c r="K87" s="15">
        <v>0.00017</v>
      </c>
      <c r="L87" s="15">
        <f t="shared" si="31"/>
        <v>0.0008500000000000001</v>
      </c>
      <c r="M87" s="27" t="s">
        <v>360</v>
      </c>
      <c r="N87" s="27" t="s">
        <v>7</v>
      </c>
      <c r="O87" s="15">
        <f t="shared" si="32"/>
        <v>0</v>
      </c>
      <c r="Z87" s="15">
        <f t="shared" si="33"/>
        <v>0</v>
      </c>
      <c r="AA87" s="15">
        <f t="shared" si="34"/>
        <v>0</v>
      </c>
      <c r="AB87" s="15">
        <f t="shared" si="35"/>
        <v>0</v>
      </c>
      <c r="AD87" s="32">
        <v>21</v>
      </c>
      <c r="AE87" s="32">
        <f>G87*0.14949593495935</f>
        <v>0</v>
      </c>
      <c r="AF87" s="32">
        <f>G87*(1-0.14949593495935)</f>
        <v>0</v>
      </c>
    </row>
    <row r="88" spans="1:32" ht="12.75">
      <c r="A88" s="5" t="s">
        <v>68</v>
      </c>
      <c r="B88" s="5" t="s">
        <v>107</v>
      </c>
      <c r="C88" s="5" t="s">
        <v>167</v>
      </c>
      <c r="D88" s="5" t="s">
        <v>286</v>
      </c>
      <c r="E88" s="5" t="s">
        <v>335</v>
      </c>
      <c r="F88" s="15">
        <v>134</v>
      </c>
      <c r="G88" s="15"/>
      <c r="H88" s="15">
        <f t="shared" si="28"/>
        <v>0</v>
      </c>
      <c r="I88" s="15">
        <f t="shared" si="29"/>
        <v>0</v>
      </c>
      <c r="J88" s="15">
        <f t="shared" si="30"/>
        <v>0</v>
      </c>
      <c r="K88" s="15">
        <v>0</v>
      </c>
      <c r="L88" s="15">
        <f t="shared" si="31"/>
        <v>0</v>
      </c>
      <c r="M88" s="27" t="s">
        <v>360</v>
      </c>
      <c r="N88" s="27" t="s">
        <v>7</v>
      </c>
      <c r="O88" s="15">
        <f t="shared" si="32"/>
        <v>0</v>
      </c>
      <c r="Z88" s="15">
        <f t="shared" si="33"/>
        <v>0</v>
      </c>
      <c r="AA88" s="15">
        <f t="shared" si="34"/>
        <v>0</v>
      </c>
      <c r="AB88" s="15">
        <f t="shared" si="35"/>
        <v>0</v>
      </c>
      <c r="AD88" s="32">
        <v>21</v>
      </c>
      <c r="AE88" s="32">
        <f>G88*0.0727272727272727</f>
        <v>0</v>
      </c>
      <c r="AF88" s="32">
        <f>G88*(1-0.0727272727272727)</f>
        <v>0</v>
      </c>
    </row>
    <row r="89" spans="1:32" ht="12.75">
      <c r="A89" s="5" t="s">
        <v>69</v>
      </c>
      <c r="B89" s="5" t="s">
        <v>107</v>
      </c>
      <c r="C89" s="5" t="s">
        <v>168</v>
      </c>
      <c r="D89" s="5" t="s">
        <v>287</v>
      </c>
      <c r="E89" s="5" t="s">
        <v>339</v>
      </c>
      <c r="F89" s="15">
        <v>20</v>
      </c>
      <c r="G89" s="15"/>
      <c r="H89" s="15">
        <f t="shared" si="28"/>
        <v>0</v>
      </c>
      <c r="I89" s="15">
        <f t="shared" si="29"/>
        <v>0</v>
      </c>
      <c r="J89" s="15">
        <f t="shared" si="30"/>
        <v>0</v>
      </c>
      <c r="K89" s="15">
        <v>0.00013</v>
      </c>
      <c r="L89" s="15">
        <f t="shared" si="31"/>
        <v>0.0026</v>
      </c>
      <c r="M89" s="27" t="s">
        <v>360</v>
      </c>
      <c r="N89" s="27" t="s">
        <v>7</v>
      </c>
      <c r="O89" s="15">
        <f t="shared" si="32"/>
        <v>0</v>
      </c>
      <c r="Z89" s="15">
        <f t="shared" si="33"/>
        <v>0</v>
      </c>
      <c r="AA89" s="15">
        <f t="shared" si="34"/>
        <v>0</v>
      </c>
      <c r="AB89" s="15">
        <f t="shared" si="35"/>
        <v>0</v>
      </c>
      <c r="AD89" s="32">
        <v>21</v>
      </c>
      <c r="AE89" s="32">
        <f>G89*0.150656514681464</f>
        <v>0</v>
      </c>
      <c r="AF89" s="32">
        <f>G89*(1-0.150656514681464)</f>
        <v>0</v>
      </c>
    </row>
    <row r="90" spans="1:32" ht="12.75">
      <c r="A90" s="5" t="s">
        <v>70</v>
      </c>
      <c r="B90" s="5" t="s">
        <v>107</v>
      </c>
      <c r="C90" s="5" t="s">
        <v>169</v>
      </c>
      <c r="D90" s="5" t="s">
        <v>288</v>
      </c>
      <c r="E90" s="5" t="s">
        <v>335</v>
      </c>
      <c r="F90" s="15">
        <v>154</v>
      </c>
      <c r="G90" s="15"/>
      <c r="H90" s="15">
        <f t="shared" si="28"/>
        <v>0</v>
      </c>
      <c r="I90" s="15">
        <f t="shared" si="29"/>
        <v>0</v>
      </c>
      <c r="J90" s="15">
        <f t="shared" si="30"/>
        <v>0</v>
      </c>
      <c r="K90" s="15">
        <v>0</v>
      </c>
      <c r="L90" s="15">
        <f t="shared" si="31"/>
        <v>0</v>
      </c>
      <c r="M90" s="27" t="s">
        <v>360</v>
      </c>
      <c r="N90" s="27" t="s">
        <v>7</v>
      </c>
      <c r="O90" s="15">
        <f t="shared" si="32"/>
        <v>0</v>
      </c>
      <c r="Z90" s="15">
        <f t="shared" si="33"/>
        <v>0</v>
      </c>
      <c r="AA90" s="15">
        <f t="shared" si="34"/>
        <v>0</v>
      </c>
      <c r="AB90" s="15">
        <f t="shared" si="35"/>
        <v>0</v>
      </c>
      <c r="AD90" s="32">
        <v>21</v>
      </c>
      <c r="AE90" s="32">
        <f>G90*0.00742857142857143</f>
        <v>0</v>
      </c>
      <c r="AF90" s="32">
        <f>G90*(1-0.00742857142857143)</f>
        <v>0</v>
      </c>
    </row>
    <row r="91" spans="1:37" ht="12.75">
      <c r="A91" s="4"/>
      <c r="B91" s="12" t="s">
        <v>107</v>
      </c>
      <c r="C91" s="12" t="s">
        <v>97</v>
      </c>
      <c r="D91" s="57" t="s">
        <v>289</v>
      </c>
      <c r="E91" s="58"/>
      <c r="F91" s="58"/>
      <c r="G91" s="58"/>
      <c r="H91" s="34">
        <f>SUM(H92:H93)</f>
        <v>0</v>
      </c>
      <c r="I91" s="34">
        <f>SUM(I92:I93)</f>
        <v>0</v>
      </c>
      <c r="J91" s="34">
        <f>H91+I91</f>
        <v>0</v>
      </c>
      <c r="K91" s="24"/>
      <c r="L91" s="34">
        <f>SUM(L92:L93)</f>
        <v>0</v>
      </c>
      <c r="M91" s="24"/>
      <c r="P91" s="34">
        <f>IF(Q91="PR",J91,SUM(O92:O93))</f>
        <v>0</v>
      </c>
      <c r="Q91" s="24" t="s">
        <v>364</v>
      </c>
      <c r="R91" s="34">
        <f>IF(Q91="HS",H91,0)</f>
        <v>0</v>
      </c>
      <c r="S91" s="34">
        <f>IF(Q91="HS",I91-P91,0)</f>
        <v>0</v>
      </c>
      <c r="T91" s="34">
        <f>IF(Q91="PS",H91,0)</f>
        <v>0</v>
      </c>
      <c r="U91" s="34">
        <f>IF(Q91="PS",I91-P91,0)</f>
        <v>0</v>
      </c>
      <c r="V91" s="34">
        <f>IF(Q91="MP",H91,0)</f>
        <v>0</v>
      </c>
      <c r="W91" s="34">
        <f>IF(Q91="MP",I91-P91,0)</f>
        <v>0</v>
      </c>
      <c r="X91" s="34">
        <f>IF(Q91="OM",H91,0)</f>
        <v>0</v>
      </c>
      <c r="Y91" s="24" t="s">
        <v>107</v>
      </c>
      <c r="AI91" s="34">
        <f>SUM(Z92:Z93)</f>
        <v>0</v>
      </c>
      <c r="AJ91" s="34">
        <f>SUM(AA92:AA93)</f>
        <v>0</v>
      </c>
      <c r="AK91" s="34">
        <f>SUM(AB92:AB93)</f>
        <v>0</v>
      </c>
    </row>
    <row r="92" spans="1:32" ht="12.75">
      <c r="A92" s="5" t="s">
        <v>71</v>
      </c>
      <c r="B92" s="5" t="s">
        <v>107</v>
      </c>
      <c r="C92" s="5" t="s">
        <v>170</v>
      </c>
      <c r="D92" s="5" t="s">
        <v>290</v>
      </c>
      <c r="E92" s="5" t="s">
        <v>335</v>
      </c>
      <c r="F92" s="15">
        <v>12</v>
      </c>
      <c r="G92" s="15"/>
      <c r="H92" s="15">
        <f>ROUND(F92*AE92,2)</f>
        <v>0</v>
      </c>
      <c r="I92" s="15">
        <f>J92-H92</f>
        <v>0</v>
      </c>
      <c r="J92" s="15">
        <f>ROUND(F92*G92,2)</f>
        <v>0</v>
      </c>
      <c r="K92" s="15">
        <v>0</v>
      </c>
      <c r="L92" s="15">
        <f>F92*K92</f>
        <v>0</v>
      </c>
      <c r="M92" s="27" t="s">
        <v>360</v>
      </c>
      <c r="N92" s="27" t="s">
        <v>7</v>
      </c>
      <c r="O92" s="15">
        <f>IF(N92="5",I92,0)</f>
        <v>0</v>
      </c>
      <c r="Z92" s="15">
        <f>IF(AD92=0,J92,0)</f>
        <v>0</v>
      </c>
      <c r="AA92" s="15">
        <f>IF(AD92=15,J92,0)</f>
        <v>0</v>
      </c>
      <c r="AB92" s="15">
        <f>IF(AD92=21,J92,0)</f>
        <v>0</v>
      </c>
      <c r="AD92" s="32">
        <v>21</v>
      </c>
      <c r="AE92" s="32">
        <f>G92*0.633269230769231</f>
        <v>0</v>
      </c>
      <c r="AF92" s="32">
        <f>G92*(1-0.633269230769231)</f>
        <v>0</v>
      </c>
    </row>
    <row r="93" spans="1:32" ht="12.75">
      <c r="A93" s="5" t="s">
        <v>72</v>
      </c>
      <c r="B93" s="5" t="s">
        <v>107</v>
      </c>
      <c r="C93" s="5" t="s">
        <v>171</v>
      </c>
      <c r="D93" s="5" t="s">
        <v>291</v>
      </c>
      <c r="E93" s="5" t="s">
        <v>340</v>
      </c>
      <c r="F93" s="15">
        <v>1</v>
      </c>
      <c r="G93" s="15"/>
      <c r="H93" s="15">
        <f>ROUND(F93*AE93,2)</f>
        <v>0</v>
      </c>
      <c r="I93" s="15">
        <f>J93-H93</f>
        <v>0</v>
      </c>
      <c r="J93" s="15">
        <f>ROUND(F93*G93,2)</f>
        <v>0</v>
      </c>
      <c r="K93" s="15">
        <v>0</v>
      </c>
      <c r="L93" s="15">
        <f>F93*K93</f>
        <v>0</v>
      </c>
      <c r="M93" s="27"/>
      <c r="N93" s="27" t="s">
        <v>7</v>
      </c>
      <c r="O93" s="15">
        <f>IF(N93="5",I93,0)</f>
        <v>0</v>
      </c>
      <c r="Z93" s="15">
        <f>IF(AD93=0,J93,0)</f>
        <v>0</v>
      </c>
      <c r="AA93" s="15">
        <f>IF(AD93=15,J93,0)</f>
        <v>0</v>
      </c>
      <c r="AB93" s="15">
        <f>IF(AD93=21,J93,0)</f>
        <v>0</v>
      </c>
      <c r="AD93" s="32">
        <v>21</v>
      </c>
      <c r="AE93" s="32">
        <f>G93*0</f>
        <v>0</v>
      </c>
      <c r="AF93" s="32">
        <f>G93*(1-0)</f>
        <v>0</v>
      </c>
    </row>
    <row r="94" spans="1:37" ht="12.75">
      <c r="A94" s="4"/>
      <c r="B94" s="12" t="s">
        <v>107</v>
      </c>
      <c r="C94" s="12" t="s">
        <v>102</v>
      </c>
      <c r="D94" s="57" t="s">
        <v>292</v>
      </c>
      <c r="E94" s="58"/>
      <c r="F94" s="58"/>
      <c r="G94" s="58"/>
      <c r="H94" s="34">
        <f>SUM(H95:H95)</f>
        <v>0</v>
      </c>
      <c r="I94" s="34">
        <f>SUM(I95:I95)</f>
        <v>0</v>
      </c>
      <c r="J94" s="34">
        <f>H94+I94</f>
        <v>0</v>
      </c>
      <c r="K94" s="24"/>
      <c r="L94" s="34">
        <f>SUM(L95:L95)</f>
        <v>26.784</v>
      </c>
      <c r="M94" s="24"/>
      <c r="P94" s="34">
        <f>IF(Q94="PR",J94,SUM(O95:O95))</f>
        <v>0</v>
      </c>
      <c r="Q94" s="24" t="s">
        <v>364</v>
      </c>
      <c r="R94" s="34">
        <f>IF(Q94="HS",H94,0)</f>
        <v>0</v>
      </c>
      <c r="S94" s="34">
        <f>IF(Q94="HS",I94-P94,0)</f>
        <v>0</v>
      </c>
      <c r="T94" s="34">
        <f>IF(Q94="PS",H94,0)</f>
        <v>0</v>
      </c>
      <c r="U94" s="34">
        <f>IF(Q94="PS",I94-P94,0)</f>
        <v>0</v>
      </c>
      <c r="V94" s="34">
        <f>IF(Q94="MP",H94,0)</f>
        <v>0</v>
      </c>
      <c r="W94" s="34">
        <f>IF(Q94="MP",I94-P94,0)</f>
        <v>0</v>
      </c>
      <c r="X94" s="34">
        <f>IF(Q94="OM",H94,0)</f>
        <v>0</v>
      </c>
      <c r="Y94" s="24" t="s">
        <v>107</v>
      </c>
      <c r="AI94" s="34">
        <f>SUM(Z95:Z95)</f>
        <v>0</v>
      </c>
      <c r="AJ94" s="34">
        <f>SUM(AA95:AA95)</f>
        <v>0</v>
      </c>
      <c r="AK94" s="34">
        <f>SUM(AB95:AB95)</f>
        <v>0</v>
      </c>
    </row>
    <row r="95" spans="1:32" ht="12.75">
      <c r="A95" s="5" t="s">
        <v>73</v>
      </c>
      <c r="B95" s="5" t="s">
        <v>107</v>
      </c>
      <c r="C95" s="5" t="s">
        <v>172</v>
      </c>
      <c r="D95" s="5" t="s">
        <v>293</v>
      </c>
      <c r="E95" s="5" t="s">
        <v>335</v>
      </c>
      <c r="F95" s="15">
        <v>288</v>
      </c>
      <c r="G95" s="15"/>
      <c r="H95" s="15">
        <f>ROUND(F95*AE95,2)</f>
        <v>0</v>
      </c>
      <c r="I95" s="15">
        <f>J95-H95</f>
        <v>0</v>
      </c>
      <c r="J95" s="15">
        <f>ROUND(F95*G95,2)</f>
        <v>0</v>
      </c>
      <c r="K95" s="15">
        <v>0.093</v>
      </c>
      <c r="L95" s="15">
        <f>F95*K95</f>
        <v>26.784</v>
      </c>
      <c r="M95" s="27" t="s">
        <v>360</v>
      </c>
      <c r="N95" s="27" t="s">
        <v>7</v>
      </c>
      <c r="O95" s="15">
        <f>IF(N95="5",I95,0)</f>
        <v>0</v>
      </c>
      <c r="Z95" s="15">
        <f>IF(AD95=0,J95,0)</f>
        <v>0</v>
      </c>
      <c r="AA95" s="15">
        <f>IF(AD95=15,J95,0)</f>
        <v>0</v>
      </c>
      <c r="AB95" s="15">
        <f>IF(AD95=21,J95,0)</f>
        <v>0</v>
      </c>
      <c r="AD95" s="32">
        <v>21</v>
      </c>
      <c r="AE95" s="32">
        <f>G95*0.0799935162296875</f>
        <v>0</v>
      </c>
      <c r="AF95" s="32">
        <f>G95*(1-0.0799935162296875)</f>
        <v>0</v>
      </c>
    </row>
    <row r="96" spans="1:37" ht="12.75">
      <c r="A96" s="4"/>
      <c r="B96" s="12" t="s">
        <v>107</v>
      </c>
      <c r="C96" s="12" t="s">
        <v>173</v>
      </c>
      <c r="D96" s="57" t="s">
        <v>294</v>
      </c>
      <c r="E96" s="58"/>
      <c r="F96" s="58"/>
      <c r="G96" s="58"/>
      <c r="H96" s="34">
        <f>SUM(H97:H99)</f>
        <v>0</v>
      </c>
      <c r="I96" s="34">
        <f>SUM(I97:I99)</f>
        <v>0</v>
      </c>
      <c r="J96" s="34">
        <f>H96+I96</f>
        <v>0</v>
      </c>
      <c r="K96" s="24"/>
      <c r="L96" s="34">
        <f>SUM(L97:L99)</f>
        <v>0</v>
      </c>
      <c r="M96" s="24"/>
      <c r="P96" s="34">
        <f>IF(Q96="PR",J96,SUM(O97:O99))</f>
        <v>0</v>
      </c>
      <c r="Q96" s="24" t="s">
        <v>365</v>
      </c>
      <c r="R96" s="34">
        <f>IF(Q96="HS",H96,0)</f>
        <v>0</v>
      </c>
      <c r="S96" s="34">
        <f>IF(Q96="HS",I96-P96,0)</f>
        <v>0</v>
      </c>
      <c r="T96" s="34">
        <f>IF(Q96="PS",H96,0)</f>
        <v>0</v>
      </c>
      <c r="U96" s="34">
        <f>IF(Q96="PS",I96-P96,0)</f>
        <v>0</v>
      </c>
      <c r="V96" s="34">
        <f>IF(Q96="MP",H96,0)</f>
        <v>0</v>
      </c>
      <c r="W96" s="34">
        <f>IF(Q96="MP",I96-P96,0)</f>
        <v>0</v>
      </c>
      <c r="X96" s="34">
        <f>IF(Q96="OM",H96,0)</f>
        <v>0</v>
      </c>
      <c r="Y96" s="24" t="s">
        <v>107</v>
      </c>
      <c r="AI96" s="34">
        <f>SUM(Z97:Z99)</f>
        <v>0</v>
      </c>
      <c r="AJ96" s="34">
        <f>SUM(AA97:AA99)</f>
        <v>0</v>
      </c>
      <c r="AK96" s="34">
        <f>SUM(AB97:AB99)</f>
        <v>0</v>
      </c>
    </row>
    <row r="97" spans="1:32" ht="12.75">
      <c r="A97" s="5" t="s">
        <v>74</v>
      </c>
      <c r="B97" s="5" t="s">
        <v>107</v>
      </c>
      <c r="C97" s="5" t="s">
        <v>174</v>
      </c>
      <c r="D97" s="5" t="s">
        <v>295</v>
      </c>
      <c r="E97" s="5" t="s">
        <v>341</v>
      </c>
      <c r="F97" s="15">
        <v>219.62</v>
      </c>
      <c r="G97" s="15"/>
      <c r="H97" s="15">
        <f>ROUND(F97*AE97,2)</f>
        <v>0</v>
      </c>
      <c r="I97" s="15">
        <f>J97-H97</f>
        <v>0</v>
      </c>
      <c r="J97" s="15">
        <f>ROUND(F97*G97,2)</f>
        <v>0</v>
      </c>
      <c r="K97" s="15">
        <v>0</v>
      </c>
      <c r="L97" s="15">
        <f>F97*K97</f>
        <v>0</v>
      </c>
      <c r="M97" s="27" t="s">
        <v>360</v>
      </c>
      <c r="N97" s="27" t="s">
        <v>11</v>
      </c>
      <c r="O97" s="15">
        <f>IF(N97="5",I97,0)</f>
        <v>0</v>
      </c>
      <c r="Z97" s="15">
        <f>IF(AD97=0,J97,0)</f>
        <v>0</v>
      </c>
      <c r="AA97" s="15">
        <f>IF(AD97=15,J97,0)</f>
        <v>0</v>
      </c>
      <c r="AB97" s="15">
        <f>IF(AD97=21,J97,0)</f>
        <v>0</v>
      </c>
      <c r="AD97" s="32">
        <v>21</v>
      </c>
      <c r="AE97" s="32">
        <f>G97*0</f>
        <v>0</v>
      </c>
      <c r="AF97" s="32">
        <f>G97*(1-0)</f>
        <v>0</v>
      </c>
    </row>
    <row r="98" spans="1:32" ht="12.75">
      <c r="A98" s="5" t="s">
        <v>75</v>
      </c>
      <c r="B98" s="5" t="s">
        <v>107</v>
      </c>
      <c r="C98" s="5" t="s">
        <v>175</v>
      </c>
      <c r="D98" s="5" t="s">
        <v>296</v>
      </c>
      <c r="E98" s="5" t="s">
        <v>341</v>
      </c>
      <c r="F98" s="15">
        <v>3.74</v>
      </c>
      <c r="G98" s="15"/>
      <c r="H98" s="15">
        <f>ROUND(F98*AE98,2)</f>
        <v>0</v>
      </c>
      <c r="I98" s="15">
        <f>J98-H98</f>
        <v>0</v>
      </c>
      <c r="J98" s="15">
        <f>ROUND(F98*G98,2)</f>
        <v>0</v>
      </c>
      <c r="K98" s="15">
        <v>0</v>
      </c>
      <c r="L98" s="15">
        <f>F98*K98</f>
        <v>0</v>
      </c>
      <c r="M98" s="27" t="s">
        <v>360</v>
      </c>
      <c r="N98" s="27" t="s">
        <v>11</v>
      </c>
      <c r="O98" s="15">
        <f>IF(N98="5",I98,0)</f>
        <v>0</v>
      </c>
      <c r="Z98" s="15">
        <f>IF(AD98=0,J98,0)</f>
        <v>0</v>
      </c>
      <c r="AA98" s="15">
        <f>IF(AD98=15,J98,0)</f>
        <v>0</v>
      </c>
      <c r="AB98" s="15">
        <f>IF(AD98=21,J98,0)</f>
        <v>0</v>
      </c>
      <c r="AD98" s="32">
        <v>21</v>
      </c>
      <c r="AE98" s="32">
        <f>G98*0</f>
        <v>0</v>
      </c>
      <c r="AF98" s="32">
        <f>G98*(1-0)</f>
        <v>0</v>
      </c>
    </row>
    <row r="99" spans="1:32" ht="12.75">
      <c r="A99" s="5" t="s">
        <v>76</v>
      </c>
      <c r="B99" s="5" t="s">
        <v>107</v>
      </c>
      <c r="C99" s="5" t="s">
        <v>176</v>
      </c>
      <c r="D99" s="5" t="s">
        <v>297</v>
      </c>
      <c r="E99" s="5" t="s">
        <v>341</v>
      </c>
      <c r="F99" s="15">
        <v>219.62</v>
      </c>
      <c r="G99" s="15"/>
      <c r="H99" s="15">
        <f>ROUND(F99*AE99,2)</f>
        <v>0</v>
      </c>
      <c r="I99" s="15">
        <f>J99-H99</f>
        <v>0</v>
      </c>
      <c r="J99" s="15">
        <f>ROUND(F99*G99,2)</f>
        <v>0</v>
      </c>
      <c r="K99" s="15">
        <v>0</v>
      </c>
      <c r="L99" s="15">
        <f>F99*K99</f>
        <v>0</v>
      </c>
      <c r="M99" s="27" t="s">
        <v>360</v>
      </c>
      <c r="N99" s="27" t="s">
        <v>11</v>
      </c>
      <c r="O99" s="15">
        <f>IF(N99="5",I99,0)</f>
        <v>0</v>
      </c>
      <c r="Z99" s="15">
        <f>IF(AD99=0,J99,0)</f>
        <v>0</v>
      </c>
      <c r="AA99" s="15">
        <f>IF(AD99=15,J99,0)</f>
        <v>0</v>
      </c>
      <c r="AB99" s="15">
        <f>IF(AD99=21,J99,0)</f>
        <v>0</v>
      </c>
      <c r="AD99" s="32">
        <v>21</v>
      </c>
      <c r="AE99" s="32">
        <f>G99*0</f>
        <v>0</v>
      </c>
      <c r="AF99" s="32">
        <f>G99*(1-0)</f>
        <v>0</v>
      </c>
    </row>
    <row r="100" spans="1:37" ht="12.75">
      <c r="A100" s="4"/>
      <c r="B100" s="12" t="s">
        <v>107</v>
      </c>
      <c r="C100" s="12" t="s">
        <v>177</v>
      </c>
      <c r="D100" s="57" t="s">
        <v>298</v>
      </c>
      <c r="E100" s="58"/>
      <c r="F100" s="58"/>
      <c r="G100" s="58"/>
      <c r="H100" s="34">
        <f>SUM(H101:H102)</f>
        <v>0</v>
      </c>
      <c r="I100" s="34">
        <f>SUM(I101:I102)</f>
        <v>0</v>
      </c>
      <c r="J100" s="34">
        <f>H100+I100</f>
        <v>0</v>
      </c>
      <c r="K100" s="24"/>
      <c r="L100" s="34">
        <f>SUM(L101:L102)</f>
        <v>0</v>
      </c>
      <c r="M100" s="24"/>
      <c r="P100" s="34">
        <f>IF(Q100="PR",J100,SUM(O101:O102))</f>
        <v>0</v>
      </c>
      <c r="Q100" s="24" t="s">
        <v>365</v>
      </c>
      <c r="R100" s="34">
        <f>IF(Q100="HS",H100,0)</f>
        <v>0</v>
      </c>
      <c r="S100" s="34">
        <f>IF(Q100="HS",I100-P100,0)</f>
        <v>0</v>
      </c>
      <c r="T100" s="34">
        <f>IF(Q100="PS",H100,0)</f>
        <v>0</v>
      </c>
      <c r="U100" s="34">
        <f>IF(Q100="PS",I100-P100,0)</f>
        <v>0</v>
      </c>
      <c r="V100" s="34">
        <f>IF(Q100="MP",H100,0)</f>
        <v>0</v>
      </c>
      <c r="W100" s="34">
        <f>IF(Q100="MP",I100-P100,0)</f>
        <v>0</v>
      </c>
      <c r="X100" s="34">
        <f>IF(Q100="OM",H100,0)</f>
        <v>0</v>
      </c>
      <c r="Y100" s="24" t="s">
        <v>107</v>
      </c>
      <c r="AI100" s="34">
        <f>SUM(Z101:Z102)</f>
        <v>0</v>
      </c>
      <c r="AJ100" s="34">
        <f>SUM(AA101:AA102)</f>
        <v>0</v>
      </c>
      <c r="AK100" s="34">
        <f>SUM(AB101:AB102)</f>
        <v>0</v>
      </c>
    </row>
    <row r="101" spans="1:32" ht="12.75">
      <c r="A101" s="5" t="s">
        <v>77</v>
      </c>
      <c r="B101" s="5" t="s">
        <v>107</v>
      </c>
      <c r="C101" s="5" t="s">
        <v>178</v>
      </c>
      <c r="D101" s="5" t="s">
        <v>299</v>
      </c>
      <c r="E101" s="5" t="s">
        <v>341</v>
      </c>
      <c r="F101" s="15">
        <v>493.26</v>
      </c>
      <c r="G101" s="15"/>
      <c r="H101" s="15">
        <f>ROUND(F101*AE101,2)</f>
        <v>0</v>
      </c>
      <c r="I101" s="15">
        <f>J101-H101</f>
        <v>0</v>
      </c>
      <c r="J101" s="15">
        <f>ROUND(F101*G101,2)</f>
        <v>0</v>
      </c>
      <c r="K101" s="15">
        <v>0</v>
      </c>
      <c r="L101" s="15">
        <f>F101*K101</f>
        <v>0</v>
      </c>
      <c r="M101" s="27" t="s">
        <v>360</v>
      </c>
      <c r="N101" s="27" t="s">
        <v>11</v>
      </c>
      <c r="O101" s="15">
        <f>IF(N101="5",I101,0)</f>
        <v>0</v>
      </c>
      <c r="Z101" s="15">
        <f>IF(AD101=0,J101,0)</f>
        <v>0</v>
      </c>
      <c r="AA101" s="15">
        <f>IF(AD101=15,J101,0)</f>
        <v>0</v>
      </c>
      <c r="AB101" s="15">
        <f>IF(AD101=21,J101,0)</f>
        <v>0</v>
      </c>
      <c r="AD101" s="32">
        <v>21</v>
      </c>
      <c r="AE101" s="32">
        <f>G101*0</f>
        <v>0</v>
      </c>
      <c r="AF101" s="32">
        <f>G101*(1-0)</f>
        <v>0</v>
      </c>
    </row>
    <row r="102" spans="1:32" ht="12.75">
      <c r="A102" s="5" t="s">
        <v>78</v>
      </c>
      <c r="B102" s="5" t="s">
        <v>107</v>
      </c>
      <c r="C102" s="5" t="s">
        <v>179</v>
      </c>
      <c r="D102" s="5" t="s">
        <v>300</v>
      </c>
      <c r="E102" s="5" t="s">
        <v>341</v>
      </c>
      <c r="F102" s="15">
        <v>493.26</v>
      </c>
      <c r="G102" s="15"/>
      <c r="H102" s="15">
        <f>ROUND(F102*AE102,2)</f>
        <v>0</v>
      </c>
      <c r="I102" s="15">
        <f>J102-H102</f>
        <v>0</v>
      </c>
      <c r="J102" s="15">
        <f>ROUND(F102*G102,2)</f>
        <v>0</v>
      </c>
      <c r="K102" s="15">
        <v>0</v>
      </c>
      <c r="L102" s="15">
        <f>F102*K102</f>
        <v>0</v>
      </c>
      <c r="M102" s="27" t="s">
        <v>360</v>
      </c>
      <c r="N102" s="27" t="s">
        <v>11</v>
      </c>
      <c r="O102" s="15">
        <f>IF(N102="5",I102,0)</f>
        <v>0</v>
      </c>
      <c r="Z102" s="15">
        <f>IF(AD102=0,J102,0)</f>
        <v>0</v>
      </c>
      <c r="AA102" s="15">
        <f>IF(AD102=15,J102,0)</f>
        <v>0</v>
      </c>
      <c r="AB102" s="15">
        <f>IF(AD102=21,J102,0)</f>
        <v>0</v>
      </c>
      <c r="AD102" s="32">
        <v>21</v>
      </c>
      <c r="AE102" s="32">
        <f>G102*0</f>
        <v>0</v>
      </c>
      <c r="AF102" s="32">
        <f>G102*(1-0)</f>
        <v>0</v>
      </c>
    </row>
    <row r="103" spans="1:37" ht="12.75">
      <c r="A103" s="4"/>
      <c r="B103" s="12" t="s">
        <v>107</v>
      </c>
      <c r="C103" s="12" t="s">
        <v>180</v>
      </c>
      <c r="D103" s="57" t="s">
        <v>301</v>
      </c>
      <c r="E103" s="58"/>
      <c r="F103" s="58"/>
      <c r="G103" s="58"/>
      <c r="H103" s="34">
        <f>SUM(H104:H106)</f>
        <v>0</v>
      </c>
      <c r="I103" s="34">
        <f>SUM(I104:I106)</f>
        <v>0</v>
      </c>
      <c r="J103" s="34">
        <f>H103+I103</f>
        <v>0</v>
      </c>
      <c r="K103" s="24"/>
      <c r="L103" s="34">
        <f>SUM(L104:L106)</f>
        <v>0</v>
      </c>
      <c r="M103" s="24"/>
      <c r="P103" s="34">
        <f>IF(Q103="PR",J103,SUM(O104:O106))</f>
        <v>0</v>
      </c>
      <c r="Q103" s="24" t="s">
        <v>365</v>
      </c>
      <c r="R103" s="34">
        <f>IF(Q103="HS",H103,0)</f>
        <v>0</v>
      </c>
      <c r="S103" s="34">
        <f>IF(Q103="HS",I103-P103,0)</f>
        <v>0</v>
      </c>
      <c r="T103" s="34">
        <f>IF(Q103="PS",H103,0)</f>
        <v>0</v>
      </c>
      <c r="U103" s="34">
        <f>IF(Q103="PS",I103-P103,0)</f>
        <v>0</v>
      </c>
      <c r="V103" s="34">
        <f>IF(Q103="MP",H103,0)</f>
        <v>0</v>
      </c>
      <c r="W103" s="34">
        <f>IF(Q103="MP",I103-P103,0)</f>
        <v>0</v>
      </c>
      <c r="X103" s="34">
        <f>IF(Q103="OM",H103,0)</f>
        <v>0</v>
      </c>
      <c r="Y103" s="24" t="s">
        <v>107</v>
      </c>
      <c r="AI103" s="34">
        <f>SUM(Z104:Z106)</f>
        <v>0</v>
      </c>
      <c r="AJ103" s="34">
        <f>SUM(AA104:AA106)</f>
        <v>0</v>
      </c>
      <c r="AK103" s="34">
        <f>SUM(AB104:AB106)</f>
        <v>0</v>
      </c>
    </row>
    <row r="104" spans="1:32" ht="12.75">
      <c r="A104" s="5" t="s">
        <v>79</v>
      </c>
      <c r="B104" s="5" t="s">
        <v>107</v>
      </c>
      <c r="C104" s="5" t="s">
        <v>181</v>
      </c>
      <c r="D104" s="5" t="s">
        <v>302</v>
      </c>
      <c r="E104" s="5" t="s">
        <v>341</v>
      </c>
      <c r="F104" s="15">
        <v>218.56</v>
      </c>
      <c r="G104" s="15"/>
      <c r="H104" s="15">
        <f>ROUND(F104*AE104,2)</f>
        <v>0</v>
      </c>
      <c r="I104" s="15">
        <f>J104-H104</f>
        <v>0</v>
      </c>
      <c r="J104" s="15">
        <f>ROUND(F104*G104,2)</f>
        <v>0</v>
      </c>
      <c r="K104" s="15">
        <v>0</v>
      </c>
      <c r="L104" s="15">
        <f>F104*K104</f>
        <v>0</v>
      </c>
      <c r="M104" s="27" t="s">
        <v>360</v>
      </c>
      <c r="N104" s="27" t="s">
        <v>11</v>
      </c>
      <c r="O104" s="15">
        <f>IF(N104="5",I104,0)</f>
        <v>0</v>
      </c>
      <c r="Z104" s="15">
        <f>IF(AD104=0,J104,0)</f>
        <v>0</v>
      </c>
      <c r="AA104" s="15">
        <f>IF(AD104=15,J104,0)</f>
        <v>0</v>
      </c>
      <c r="AB104" s="15">
        <f>IF(AD104=21,J104,0)</f>
        <v>0</v>
      </c>
      <c r="AD104" s="32">
        <v>21</v>
      </c>
      <c r="AE104" s="32">
        <f>G104*0.00897134956107913</f>
        <v>0</v>
      </c>
      <c r="AF104" s="32">
        <f>G104*(1-0.00897134956107913)</f>
        <v>0</v>
      </c>
    </row>
    <row r="105" spans="1:32" ht="12.75">
      <c r="A105" s="5" t="s">
        <v>80</v>
      </c>
      <c r="B105" s="5" t="s">
        <v>107</v>
      </c>
      <c r="C105" s="5" t="s">
        <v>182</v>
      </c>
      <c r="D105" s="5" t="s">
        <v>303</v>
      </c>
      <c r="E105" s="5" t="s">
        <v>341</v>
      </c>
      <c r="F105" s="15">
        <v>218.56</v>
      </c>
      <c r="G105" s="15"/>
      <c r="H105" s="15">
        <f>ROUND(F105*AE105,2)</f>
        <v>0</v>
      </c>
      <c r="I105" s="15">
        <f>J105-H105</f>
        <v>0</v>
      </c>
      <c r="J105" s="15">
        <f>ROUND(F105*G105,2)</f>
        <v>0</v>
      </c>
      <c r="K105" s="15">
        <v>0</v>
      </c>
      <c r="L105" s="15">
        <f>F105*K105</f>
        <v>0</v>
      </c>
      <c r="M105" s="27" t="s">
        <v>360</v>
      </c>
      <c r="N105" s="27" t="s">
        <v>11</v>
      </c>
      <c r="O105" s="15">
        <f>IF(N105="5",I105,0)</f>
        <v>0</v>
      </c>
      <c r="Z105" s="15">
        <f>IF(AD105=0,J105,0)</f>
        <v>0</v>
      </c>
      <c r="AA105" s="15">
        <f>IF(AD105=15,J105,0)</f>
        <v>0</v>
      </c>
      <c r="AB105" s="15">
        <f>IF(AD105=21,J105,0)</f>
        <v>0</v>
      </c>
      <c r="AD105" s="32">
        <v>21</v>
      </c>
      <c r="AE105" s="32">
        <f>G105*0</f>
        <v>0</v>
      </c>
      <c r="AF105" s="32">
        <f>G105*(1-0)</f>
        <v>0</v>
      </c>
    </row>
    <row r="106" spans="1:32" ht="12.75">
      <c r="A106" s="5" t="s">
        <v>81</v>
      </c>
      <c r="B106" s="5" t="s">
        <v>107</v>
      </c>
      <c r="C106" s="5" t="s">
        <v>183</v>
      </c>
      <c r="D106" s="5" t="s">
        <v>304</v>
      </c>
      <c r="E106" s="5" t="s">
        <v>341</v>
      </c>
      <c r="F106" s="15">
        <v>218.56</v>
      </c>
      <c r="G106" s="15"/>
      <c r="H106" s="15">
        <f>ROUND(F106*AE106,2)</f>
        <v>0</v>
      </c>
      <c r="I106" s="15">
        <f>J106-H106</f>
        <v>0</v>
      </c>
      <c r="J106" s="15">
        <f>ROUND(F106*G106,2)</f>
        <v>0</v>
      </c>
      <c r="K106" s="15">
        <v>0</v>
      </c>
      <c r="L106" s="15">
        <f>F106*K106</f>
        <v>0</v>
      </c>
      <c r="M106" s="27" t="s">
        <v>360</v>
      </c>
      <c r="N106" s="27" t="s">
        <v>11</v>
      </c>
      <c r="O106" s="15">
        <f>IF(N106="5",I106,0)</f>
        <v>0</v>
      </c>
      <c r="Z106" s="15">
        <f>IF(AD106=0,J106,0)</f>
        <v>0</v>
      </c>
      <c r="AA106" s="15">
        <f>IF(AD106=15,J106,0)</f>
        <v>0</v>
      </c>
      <c r="AB106" s="15">
        <f>IF(AD106=21,J106,0)</f>
        <v>0</v>
      </c>
      <c r="AD106" s="32">
        <v>21</v>
      </c>
      <c r="AE106" s="32">
        <f>G106*0</f>
        <v>0</v>
      </c>
      <c r="AF106" s="32">
        <f>G106*(1-0)</f>
        <v>0</v>
      </c>
    </row>
    <row r="107" spans="1:37" ht="12.75">
      <c r="A107" s="4"/>
      <c r="B107" s="12" t="s">
        <v>107</v>
      </c>
      <c r="C107" s="12"/>
      <c r="D107" s="57" t="s">
        <v>305</v>
      </c>
      <c r="E107" s="58"/>
      <c r="F107" s="58"/>
      <c r="G107" s="58"/>
      <c r="H107" s="34">
        <f>SUM(H108:H131)</f>
        <v>0</v>
      </c>
      <c r="I107" s="34">
        <f>SUM(I108:I131)</f>
        <v>0</v>
      </c>
      <c r="J107" s="34">
        <f>H107+I107</f>
        <v>0</v>
      </c>
      <c r="K107" s="24"/>
      <c r="L107" s="34">
        <f>SUM(L108:L131)</f>
        <v>213.8137</v>
      </c>
      <c r="M107" s="24"/>
      <c r="P107" s="34">
        <f>IF(Q107="PR",J107,SUM(O108:O131))</f>
        <v>0</v>
      </c>
      <c r="Q107" s="24" t="s">
        <v>366</v>
      </c>
      <c r="R107" s="34">
        <f>IF(Q107="HS",H107,0)</f>
        <v>0</v>
      </c>
      <c r="S107" s="34">
        <f>IF(Q107="HS",I107-P107,0)</f>
        <v>0</v>
      </c>
      <c r="T107" s="34">
        <f>IF(Q107="PS",H107,0)</f>
        <v>0</v>
      </c>
      <c r="U107" s="34">
        <f>IF(Q107="PS",I107-P107,0)</f>
        <v>0</v>
      </c>
      <c r="V107" s="34">
        <f>IF(Q107="MP",H107,0)</f>
        <v>0</v>
      </c>
      <c r="W107" s="34">
        <f>IF(Q107="MP",I107-P107,0)</f>
        <v>0</v>
      </c>
      <c r="X107" s="34">
        <f>IF(Q107="OM",H107,0)</f>
        <v>0</v>
      </c>
      <c r="Y107" s="24" t="s">
        <v>107</v>
      </c>
      <c r="AI107" s="34">
        <f>SUM(Z108:Z131)</f>
        <v>0</v>
      </c>
      <c r="AJ107" s="34">
        <f>SUM(AA108:AA131)</f>
        <v>0</v>
      </c>
      <c r="AK107" s="34">
        <f>SUM(AB108:AB131)</f>
        <v>0</v>
      </c>
    </row>
    <row r="108" spans="1:32" ht="12.75">
      <c r="A108" s="6" t="s">
        <v>82</v>
      </c>
      <c r="B108" s="6" t="s">
        <v>107</v>
      </c>
      <c r="C108" s="6" t="s">
        <v>184</v>
      </c>
      <c r="D108" s="6" t="s">
        <v>306</v>
      </c>
      <c r="E108" s="6" t="s">
        <v>338</v>
      </c>
      <c r="F108" s="16">
        <v>1</v>
      </c>
      <c r="G108" s="16"/>
      <c r="H108" s="16">
        <f aca="true" t="shared" si="36" ref="H108:H131">ROUND(F108*AE108,2)</f>
        <v>0</v>
      </c>
      <c r="I108" s="16">
        <f aca="true" t="shared" si="37" ref="I108:I131">J108-H108</f>
        <v>0</v>
      </c>
      <c r="J108" s="16">
        <f aca="true" t="shared" si="38" ref="J108:J131">ROUND(F108*G108,2)</f>
        <v>0</v>
      </c>
      <c r="K108" s="16">
        <v>2.6</v>
      </c>
      <c r="L108" s="16">
        <f aca="true" t="shared" si="39" ref="L108:L131">F108*K108</f>
        <v>2.6</v>
      </c>
      <c r="M108" s="28"/>
      <c r="N108" s="28" t="s">
        <v>361</v>
      </c>
      <c r="O108" s="16">
        <f aca="true" t="shared" si="40" ref="O108:O131">IF(N108="5",I108,0)</f>
        <v>0</v>
      </c>
      <c r="Z108" s="16">
        <f aca="true" t="shared" si="41" ref="Z108:Z131">IF(AD108=0,J108,0)</f>
        <v>0</v>
      </c>
      <c r="AA108" s="16">
        <f aca="true" t="shared" si="42" ref="AA108:AA131">IF(AD108=15,J108,0)</f>
        <v>0</v>
      </c>
      <c r="AB108" s="16">
        <f aca="true" t="shared" si="43" ref="AB108:AB131">IF(AD108=21,J108,0)</f>
        <v>0</v>
      </c>
      <c r="AD108" s="32">
        <v>21</v>
      </c>
      <c r="AE108" s="32">
        <f aca="true" t="shared" si="44" ref="AE108:AE131">G108*1</f>
        <v>0</v>
      </c>
      <c r="AF108" s="32">
        <f aca="true" t="shared" si="45" ref="AF108:AF131">G108*(1-1)</f>
        <v>0</v>
      </c>
    </row>
    <row r="109" spans="1:32" ht="12.75">
      <c r="A109" s="6" t="s">
        <v>83</v>
      </c>
      <c r="B109" s="6" t="s">
        <v>107</v>
      </c>
      <c r="C109" s="6" t="s">
        <v>185</v>
      </c>
      <c r="D109" s="6" t="s">
        <v>307</v>
      </c>
      <c r="E109" s="6" t="s">
        <v>338</v>
      </c>
      <c r="F109" s="16">
        <v>4</v>
      </c>
      <c r="G109" s="16"/>
      <c r="H109" s="16">
        <f t="shared" si="36"/>
        <v>0</v>
      </c>
      <c r="I109" s="16">
        <f t="shared" si="37"/>
        <v>0</v>
      </c>
      <c r="J109" s="16">
        <f t="shared" si="38"/>
        <v>0</v>
      </c>
      <c r="K109" s="16">
        <v>1.2</v>
      </c>
      <c r="L109" s="16">
        <f t="shared" si="39"/>
        <v>4.8</v>
      </c>
      <c r="M109" s="28"/>
      <c r="N109" s="28" t="s">
        <v>361</v>
      </c>
      <c r="O109" s="16">
        <f t="shared" si="40"/>
        <v>0</v>
      </c>
      <c r="Z109" s="16">
        <f t="shared" si="41"/>
        <v>0</v>
      </c>
      <c r="AA109" s="16">
        <f t="shared" si="42"/>
        <v>0</v>
      </c>
      <c r="AB109" s="16">
        <f t="shared" si="43"/>
        <v>0</v>
      </c>
      <c r="AD109" s="32">
        <v>21</v>
      </c>
      <c r="AE109" s="32">
        <f t="shared" si="44"/>
        <v>0</v>
      </c>
      <c r="AF109" s="32">
        <f t="shared" si="45"/>
        <v>0</v>
      </c>
    </row>
    <row r="110" spans="1:32" ht="12.75">
      <c r="A110" s="6" t="s">
        <v>84</v>
      </c>
      <c r="B110" s="6" t="s">
        <v>107</v>
      </c>
      <c r="C110" s="6" t="s">
        <v>186</v>
      </c>
      <c r="D110" s="6" t="s">
        <v>308</v>
      </c>
      <c r="E110" s="6" t="s">
        <v>338</v>
      </c>
      <c r="F110" s="16">
        <v>11</v>
      </c>
      <c r="G110" s="16"/>
      <c r="H110" s="16">
        <f t="shared" si="36"/>
        <v>0</v>
      </c>
      <c r="I110" s="16">
        <f t="shared" si="37"/>
        <v>0</v>
      </c>
      <c r="J110" s="16">
        <f t="shared" si="38"/>
        <v>0</v>
      </c>
      <c r="K110" s="16">
        <v>0</v>
      </c>
      <c r="L110" s="16">
        <f t="shared" si="39"/>
        <v>0</v>
      </c>
      <c r="M110" s="28"/>
      <c r="N110" s="28" t="s">
        <v>361</v>
      </c>
      <c r="O110" s="16">
        <f t="shared" si="40"/>
        <v>0</v>
      </c>
      <c r="Z110" s="16">
        <f t="shared" si="41"/>
        <v>0</v>
      </c>
      <c r="AA110" s="16">
        <f t="shared" si="42"/>
        <v>0</v>
      </c>
      <c r="AB110" s="16">
        <f t="shared" si="43"/>
        <v>0</v>
      </c>
      <c r="AD110" s="32">
        <v>21</v>
      </c>
      <c r="AE110" s="32">
        <f t="shared" si="44"/>
        <v>0</v>
      </c>
      <c r="AF110" s="32">
        <f t="shared" si="45"/>
        <v>0</v>
      </c>
    </row>
    <row r="111" spans="1:32" ht="12.75">
      <c r="A111" s="6" t="s">
        <v>85</v>
      </c>
      <c r="B111" s="6" t="s">
        <v>107</v>
      </c>
      <c r="C111" s="6" t="s">
        <v>187</v>
      </c>
      <c r="D111" s="6" t="s">
        <v>309</v>
      </c>
      <c r="E111" s="6" t="s">
        <v>338</v>
      </c>
      <c r="F111" s="16">
        <v>2</v>
      </c>
      <c r="G111" s="16"/>
      <c r="H111" s="16">
        <f t="shared" si="36"/>
        <v>0</v>
      </c>
      <c r="I111" s="16">
        <f t="shared" si="37"/>
        <v>0</v>
      </c>
      <c r="J111" s="16">
        <f t="shared" si="38"/>
        <v>0</v>
      </c>
      <c r="K111" s="16">
        <v>0.259</v>
      </c>
      <c r="L111" s="16">
        <f t="shared" si="39"/>
        <v>0.518</v>
      </c>
      <c r="M111" s="28"/>
      <c r="N111" s="28" t="s">
        <v>361</v>
      </c>
      <c r="O111" s="16">
        <f t="shared" si="40"/>
        <v>0</v>
      </c>
      <c r="Z111" s="16">
        <f t="shared" si="41"/>
        <v>0</v>
      </c>
      <c r="AA111" s="16">
        <f t="shared" si="42"/>
        <v>0</v>
      </c>
      <c r="AB111" s="16">
        <f t="shared" si="43"/>
        <v>0</v>
      </c>
      <c r="AD111" s="32">
        <v>21</v>
      </c>
      <c r="AE111" s="32">
        <f t="shared" si="44"/>
        <v>0</v>
      </c>
      <c r="AF111" s="32">
        <f t="shared" si="45"/>
        <v>0</v>
      </c>
    </row>
    <row r="112" spans="1:32" ht="12.75">
      <c r="A112" s="6" t="s">
        <v>86</v>
      </c>
      <c r="B112" s="6" t="s">
        <v>107</v>
      </c>
      <c r="C112" s="6" t="s">
        <v>188</v>
      </c>
      <c r="D112" s="6" t="s">
        <v>310</v>
      </c>
      <c r="E112" s="6" t="s">
        <v>338</v>
      </c>
      <c r="F112" s="16">
        <v>4</v>
      </c>
      <c r="G112" s="16"/>
      <c r="H112" s="16">
        <f t="shared" si="36"/>
        <v>0</v>
      </c>
      <c r="I112" s="16">
        <f t="shared" si="37"/>
        <v>0</v>
      </c>
      <c r="J112" s="16">
        <f t="shared" si="38"/>
        <v>0</v>
      </c>
      <c r="K112" s="16">
        <v>0.518</v>
      </c>
      <c r="L112" s="16">
        <f t="shared" si="39"/>
        <v>2.072</v>
      </c>
      <c r="M112" s="28"/>
      <c r="N112" s="28" t="s">
        <v>361</v>
      </c>
      <c r="O112" s="16">
        <f t="shared" si="40"/>
        <v>0</v>
      </c>
      <c r="Z112" s="16">
        <f t="shared" si="41"/>
        <v>0</v>
      </c>
      <c r="AA112" s="16">
        <f t="shared" si="42"/>
        <v>0</v>
      </c>
      <c r="AB112" s="16">
        <f t="shared" si="43"/>
        <v>0</v>
      </c>
      <c r="AD112" s="32">
        <v>21</v>
      </c>
      <c r="AE112" s="32">
        <f t="shared" si="44"/>
        <v>0</v>
      </c>
      <c r="AF112" s="32">
        <f t="shared" si="45"/>
        <v>0</v>
      </c>
    </row>
    <row r="113" spans="1:32" ht="12.75">
      <c r="A113" s="6" t="s">
        <v>87</v>
      </c>
      <c r="B113" s="6" t="s">
        <v>107</v>
      </c>
      <c r="C113" s="6" t="s">
        <v>189</v>
      </c>
      <c r="D113" s="6" t="s">
        <v>311</v>
      </c>
      <c r="E113" s="6" t="s">
        <v>338</v>
      </c>
      <c r="F113" s="16">
        <v>5</v>
      </c>
      <c r="G113" s="16"/>
      <c r="H113" s="16">
        <f t="shared" si="36"/>
        <v>0</v>
      </c>
      <c r="I113" s="16">
        <f t="shared" si="37"/>
        <v>0</v>
      </c>
      <c r="J113" s="16">
        <f t="shared" si="38"/>
        <v>0</v>
      </c>
      <c r="K113" s="16">
        <v>0.628</v>
      </c>
      <c r="L113" s="16">
        <f t="shared" si="39"/>
        <v>3.14</v>
      </c>
      <c r="M113" s="28"/>
      <c r="N113" s="28" t="s">
        <v>361</v>
      </c>
      <c r="O113" s="16">
        <f t="shared" si="40"/>
        <v>0</v>
      </c>
      <c r="Z113" s="16">
        <f t="shared" si="41"/>
        <v>0</v>
      </c>
      <c r="AA113" s="16">
        <f t="shared" si="42"/>
        <v>0</v>
      </c>
      <c r="AB113" s="16">
        <f t="shared" si="43"/>
        <v>0</v>
      </c>
      <c r="AD113" s="32">
        <v>21</v>
      </c>
      <c r="AE113" s="32">
        <f t="shared" si="44"/>
        <v>0</v>
      </c>
      <c r="AF113" s="32">
        <f t="shared" si="45"/>
        <v>0</v>
      </c>
    </row>
    <row r="114" spans="1:32" ht="12.75">
      <c r="A114" s="6" t="s">
        <v>88</v>
      </c>
      <c r="B114" s="6" t="s">
        <v>107</v>
      </c>
      <c r="C114" s="6" t="s">
        <v>190</v>
      </c>
      <c r="D114" s="6" t="s">
        <v>312</v>
      </c>
      <c r="E114" s="6" t="s">
        <v>338</v>
      </c>
      <c r="F114" s="16">
        <v>3</v>
      </c>
      <c r="G114" s="16"/>
      <c r="H114" s="16">
        <f t="shared" si="36"/>
        <v>0</v>
      </c>
      <c r="I114" s="16">
        <f t="shared" si="37"/>
        <v>0</v>
      </c>
      <c r="J114" s="16">
        <f t="shared" si="38"/>
        <v>0</v>
      </c>
      <c r="K114" s="16">
        <v>0.081</v>
      </c>
      <c r="L114" s="16">
        <f t="shared" si="39"/>
        <v>0.243</v>
      </c>
      <c r="M114" s="28"/>
      <c r="N114" s="28" t="s">
        <v>361</v>
      </c>
      <c r="O114" s="16">
        <f t="shared" si="40"/>
        <v>0</v>
      </c>
      <c r="Z114" s="16">
        <f t="shared" si="41"/>
        <v>0</v>
      </c>
      <c r="AA114" s="16">
        <f t="shared" si="42"/>
        <v>0</v>
      </c>
      <c r="AB114" s="16">
        <f t="shared" si="43"/>
        <v>0</v>
      </c>
      <c r="AD114" s="32">
        <v>21</v>
      </c>
      <c r="AE114" s="32">
        <f t="shared" si="44"/>
        <v>0</v>
      </c>
      <c r="AF114" s="32">
        <f t="shared" si="45"/>
        <v>0</v>
      </c>
    </row>
    <row r="115" spans="1:32" ht="12.75">
      <c r="A115" s="6" t="s">
        <v>89</v>
      </c>
      <c r="B115" s="6" t="s">
        <v>107</v>
      </c>
      <c r="C115" s="6" t="s">
        <v>191</v>
      </c>
      <c r="D115" s="6" t="s">
        <v>313</v>
      </c>
      <c r="E115" s="6" t="s">
        <v>338</v>
      </c>
      <c r="F115" s="16">
        <v>2</v>
      </c>
      <c r="G115" s="16"/>
      <c r="H115" s="16">
        <f t="shared" si="36"/>
        <v>0</v>
      </c>
      <c r="I115" s="16">
        <f t="shared" si="37"/>
        <v>0</v>
      </c>
      <c r="J115" s="16">
        <f t="shared" si="38"/>
        <v>0</v>
      </c>
      <c r="K115" s="16">
        <v>0.066</v>
      </c>
      <c r="L115" s="16">
        <f t="shared" si="39"/>
        <v>0.132</v>
      </c>
      <c r="M115" s="28"/>
      <c r="N115" s="28" t="s">
        <v>361</v>
      </c>
      <c r="O115" s="16">
        <f t="shared" si="40"/>
        <v>0</v>
      </c>
      <c r="Z115" s="16">
        <f t="shared" si="41"/>
        <v>0</v>
      </c>
      <c r="AA115" s="16">
        <f t="shared" si="42"/>
        <v>0</v>
      </c>
      <c r="AB115" s="16">
        <f t="shared" si="43"/>
        <v>0</v>
      </c>
      <c r="AD115" s="32">
        <v>21</v>
      </c>
      <c r="AE115" s="32">
        <f t="shared" si="44"/>
        <v>0</v>
      </c>
      <c r="AF115" s="32">
        <f t="shared" si="45"/>
        <v>0</v>
      </c>
    </row>
    <row r="116" spans="1:32" ht="12.75">
      <c r="A116" s="6" t="s">
        <v>90</v>
      </c>
      <c r="B116" s="6" t="s">
        <v>107</v>
      </c>
      <c r="C116" s="6" t="s">
        <v>192</v>
      </c>
      <c r="D116" s="6" t="s">
        <v>314</v>
      </c>
      <c r="E116" s="6" t="s">
        <v>338</v>
      </c>
      <c r="F116" s="16">
        <v>4</v>
      </c>
      <c r="G116" s="16"/>
      <c r="H116" s="16">
        <f t="shared" si="36"/>
        <v>0</v>
      </c>
      <c r="I116" s="16">
        <f t="shared" si="37"/>
        <v>0</v>
      </c>
      <c r="J116" s="16">
        <f t="shared" si="38"/>
        <v>0</v>
      </c>
      <c r="K116" s="16">
        <v>0.052</v>
      </c>
      <c r="L116" s="16">
        <f t="shared" si="39"/>
        <v>0.208</v>
      </c>
      <c r="M116" s="28"/>
      <c r="N116" s="28" t="s">
        <v>361</v>
      </c>
      <c r="O116" s="16">
        <f t="shared" si="40"/>
        <v>0</v>
      </c>
      <c r="Z116" s="16">
        <f t="shared" si="41"/>
        <v>0</v>
      </c>
      <c r="AA116" s="16">
        <f t="shared" si="42"/>
        <v>0</v>
      </c>
      <c r="AB116" s="16">
        <f t="shared" si="43"/>
        <v>0</v>
      </c>
      <c r="AD116" s="32">
        <v>21</v>
      </c>
      <c r="AE116" s="32">
        <f t="shared" si="44"/>
        <v>0</v>
      </c>
      <c r="AF116" s="32">
        <f t="shared" si="45"/>
        <v>0</v>
      </c>
    </row>
    <row r="117" spans="1:32" ht="12.75">
      <c r="A117" s="6" t="s">
        <v>91</v>
      </c>
      <c r="B117" s="6" t="s">
        <v>107</v>
      </c>
      <c r="C117" s="6" t="s">
        <v>193</v>
      </c>
      <c r="D117" s="6" t="s">
        <v>315</v>
      </c>
      <c r="E117" s="6" t="s">
        <v>338</v>
      </c>
      <c r="F117" s="16">
        <v>1</v>
      </c>
      <c r="G117" s="16"/>
      <c r="H117" s="16">
        <f t="shared" si="36"/>
        <v>0</v>
      </c>
      <c r="I117" s="16">
        <f t="shared" si="37"/>
        <v>0</v>
      </c>
      <c r="J117" s="16">
        <f t="shared" si="38"/>
        <v>0</v>
      </c>
      <c r="K117" s="16">
        <v>0.039</v>
      </c>
      <c r="L117" s="16">
        <f t="shared" si="39"/>
        <v>0.039</v>
      </c>
      <c r="M117" s="28"/>
      <c r="N117" s="28" t="s">
        <v>361</v>
      </c>
      <c r="O117" s="16">
        <f t="shared" si="40"/>
        <v>0</v>
      </c>
      <c r="Z117" s="16">
        <f t="shared" si="41"/>
        <v>0</v>
      </c>
      <c r="AA117" s="16">
        <f t="shared" si="42"/>
        <v>0</v>
      </c>
      <c r="AB117" s="16">
        <f t="shared" si="43"/>
        <v>0</v>
      </c>
      <c r="AD117" s="32">
        <v>21</v>
      </c>
      <c r="AE117" s="32">
        <f t="shared" si="44"/>
        <v>0</v>
      </c>
      <c r="AF117" s="32">
        <f t="shared" si="45"/>
        <v>0</v>
      </c>
    </row>
    <row r="118" spans="1:32" ht="12.75">
      <c r="A118" s="6" t="s">
        <v>92</v>
      </c>
      <c r="B118" s="6" t="s">
        <v>107</v>
      </c>
      <c r="C118" s="6" t="s">
        <v>194</v>
      </c>
      <c r="D118" s="6" t="s">
        <v>459</v>
      </c>
      <c r="E118" s="6" t="s">
        <v>338</v>
      </c>
      <c r="F118" s="16">
        <v>3</v>
      </c>
      <c r="G118" s="16"/>
      <c r="H118" s="16">
        <f t="shared" si="36"/>
        <v>0</v>
      </c>
      <c r="I118" s="16">
        <f t="shared" si="37"/>
        <v>0</v>
      </c>
      <c r="J118" s="16">
        <f t="shared" si="38"/>
        <v>0</v>
      </c>
      <c r="K118" s="16">
        <v>0.156</v>
      </c>
      <c r="L118" s="16">
        <f t="shared" si="39"/>
        <v>0.46799999999999997</v>
      </c>
      <c r="M118" s="28"/>
      <c r="N118" s="28" t="s">
        <v>361</v>
      </c>
      <c r="O118" s="16">
        <f t="shared" si="40"/>
        <v>0</v>
      </c>
      <c r="Z118" s="16">
        <f t="shared" si="41"/>
        <v>0</v>
      </c>
      <c r="AA118" s="16">
        <f t="shared" si="42"/>
        <v>0</v>
      </c>
      <c r="AB118" s="16">
        <f t="shared" si="43"/>
        <v>0</v>
      </c>
      <c r="AD118" s="32">
        <v>21</v>
      </c>
      <c r="AE118" s="32">
        <f t="shared" si="44"/>
        <v>0</v>
      </c>
      <c r="AF118" s="32">
        <f t="shared" si="45"/>
        <v>0</v>
      </c>
    </row>
    <row r="119" spans="1:32" ht="12.75">
      <c r="A119" s="6" t="s">
        <v>93</v>
      </c>
      <c r="B119" s="6" t="s">
        <v>107</v>
      </c>
      <c r="C119" s="6" t="s">
        <v>195</v>
      </c>
      <c r="D119" s="6" t="s">
        <v>458</v>
      </c>
      <c r="E119" s="6" t="s">
        <v>338</v>
      </c>
      <c r="F119" s="16">
        <v>2</v>
      </c>
      <c r="G119" s="16"/>
      <c r="H119" s="16">
        <f t="shared" si="36"/>
        <v>0</v>
      </c>
      <c r="I119" s="16">
        <f t="shared" si="37"/>
        <v>0</v>
      </c>
      <c r="J119" s="16">
        <f t="shared" si="38"/>
        <v>0</v>
      </c>
      <c r="K119" s="16">
        <v>0.156</v>
      </c>
      <c r="L119" s="16">
        <f t="shared" si="39"/>
        <v>0.312</v>
      </c>
      <c r="M119" s="28"/>
      <c r="N119" s="28" t="s">
        <v>361</v>
      </c>
      <c r="O119" s="16">
        <f t="shared" si="40"/>
        <v>0</v>
      </c>
      <c r="Z119" s="16">
        <f t="shared" si="41"/>
        <v>0</v>
      </c>
      <c r="AA119" s="16">
        <f t="shared" si="42"/>
        <v>0</v>
      </c>
      <c r="AB119" s="16">
        <f t="shared" si="43"/>
        <v>0</v>
      </c>
      <c r="AD119" s="32">
        <v>21</v>
      </c>
      <c r="AE119" s="32">
        <f t="shared" si="44"/>
        <v>0</v>
      </c>
      <c r="AF119" s="32">
        <f t="shared" si="45"/>
        <v>0</v>
      </c>
    </row>
    <row r="120" spans="1:32" ht="12.75">
      <c r="A120" s="6" t="s">
        <v>94</v>
      </c>
      <c r="B120" s="6" t="s">
        <v>107</v>
      </c>
      <c r="C120" s="6" t="s">
        <v>196</v>
      </c>
      <c r="D120" s="6" t="s">
        <v>316</v>
      </c>
      <c r="E120" s="6" t="s">
        <v>338</v>
      </c>
      <c r="F120" s="16">
        <v>11</v>
      </c>
      <c r="G120" s="16"/>
      <c r="H120" s="16">
        <f t="shared" si="36"/>
        <v>0</v>
      </c>
      <c r="I120" s="16">
        <f t="shared" si="37"/>
        <v>0</v>
      </c>
      <c r="J120" s="16">
        <f t="shared" si="38"/>
        <v>0</v>
      </c>
      <c r="K120" s="16">
        <v>0.04</v>
      </c>
      <c r="L120" s="16">
        <f t="shared" si="39"/>
        <v>0.44</v>
      </c>
      <c r="M120" s="28"/>
      <c r="N120" s="28" t="s">
        <v>361</v>
      </c>
      <c r="O120" s="16">
        <f t="shared" si="40"/>
        <v>0</v>
      </c>
      <c r="Z120" s="16">
        <f t="shared" si="41"/>
        <v>0</v>
      </c>
      <c r="AA120" s="16">
        <f t="shared" si="42"/>
        <v>0</v>
      </c>
      <c r="AB120" s="16">
        <f t="shared" si="43"/>
        <v>0</v>
      </c>
      <c r="AD120" s="32">
        <v>21</v>
      </c>
      <c r="AE120" s="32">
        <f t="shared" si="44"/>
        <v>0</v>
      </c>
      <c r="AF120" s="32">
        <f t="shared" si="45"/>
        <v>0</v>
      </c>
    </row>
    <row r="121" spans="1:32" ht="12.75">
      <c r="A121" s="6" t="s">
        <v>95</v>
      </c>
      <c r="B121" s="6" t="s">
        <v>107</v>
      </c>
      <c r="C121" s="6" t="s">
        <v>197</v>
      </c>
      <c r="D121" s="6" t="s">
        <v>317</v>
      </c>
      <c r="E121" s="6" t="s">
        <v>338</v>
      </c>
      <c r="F121" s="16">
        <v>2</v>
      </c>
      <c r="G121" s="16"/>
      <c r="H121" s="16">
        <f t="shared" si="36"/>
        <v>0</v>
      </c>
      <c r="I121" s="16">
        <f t="shared" si="37"/>
        <v>0</v>
      </c>
      <c r="J121" s="16">
        <f t="shared" si="38"/>
        <v>0</v>
      </c>
      <c r="K121" s="16">
        <v>0.041</v>
      </c>
      <c r="L121" s="16">
        <f t="shared" si="39"/>
        <v>0.082</v>
      </c>
      <c r="M121" s="28"/>
      <c r="N121" s="28" t="s">
        <v>361</v>
      </c>
      <c r="O121" s="16">
        <f t="shared" si="40"/>
        <v>0</v>
      </c>
      <c r="Z121" s="16">
        <f t="shared" si="41"/>
        <v>0</v>
      </c>
      <c r="AA121" s="16">
        <f t="shared" si="42"/>
        <v>0</v>
      </c>
      <c r="AB121" s="16">
        <f t="shared" si="43"/>
        <v>0</v>
      </c>
      <c r="AD121" s="32">
        <v>21</v>
      </c>
      <c r="AE121" s="32">
        <f t="shared" si="44"/>
        <v>0</v>
      </c>
      <c r="AF121" s="32">
        <f t="shared" si="45"/>
        <v>0</v>
      </c>
    </row>
    <row r="122" spans="1:32" ht="12.75">
      <c r="A122" s="6" t="s">
        <v>96</v>
      </c>
      <c r="B122" s="6" t="s">
        <v>107</v>
      </c>
      <c r="C122" s="6" t="s">
        <v>198</v>
      </c>
      <c r="D122" s="6" t="s">
        <v>318</v>
      </c>
      <c r="E122" s="6" t="s">
        <v>338</v>
      </c>
      <c r="F122" s="16">
        <v>28</v>
      </c>
      <c r="G122" s="16"/>
      <c r="H122" s="16">
        <f t="shared" si="36"/>
        <v>0</v>
      </c>
      <c r="I122" s="16">
        <f t="shared" si="37"/>
        <v>0</v>
      </c>
      <c r="J122" s="16">
        <f t="shared" si="38"/>
        <v>0</v>
      </c>
      <c r="K122" s="16">
        <v>0.042</v>
      </c>
      <c r="L122" s="16">
        <f t="shared" si="39"/>
        <v>1.1760000000000002</v>
      </c>
      <c r="M122" s="28"/>
      <c r="N122" s="28" t="s">
        <v>361</v>
      </c>
      <c r="O122" s="16">
        <f t="shared" si="40"/>
        <v>0</v>
      </c>
      <c r="Z122" s="16">
        <f t="shared" si="41"/>
        <v>0</v>
      </c>
      <c r="AA122" s="16">
        <f t="shared" si="42"/>
        <v>0</v>
      </c>
      <c r="AB122" s="16">
        <f t="shared" si="43"/>
        <v>0</v>
      </c>
      <c r="AD122" s="32">
        <v>21</v>
      </c>
      <c r="AE122" s="32">
        <f t="shared" si="44"/>
        <v>0</v>
      </c>
      <c r="AF122" s="32">
        <f t="shared" si="45"/>
        <v>0</v>
      </c>
    </row>
    <row r="123" spans="1:32" ht="12.75">
      <c r="A123" s="6" t="s">
        <v>97</v>
      </c>
      <c r="B123" s="6" t="s">
        <v>107</v>
      </c>
      <c r="C123" s="6" t="s">
        <v>199</v>
      </c>
      <c r="D123" s="6" t="s">
        <v>319</v>
      </c>
      <c r="E123" s="6" t="s">
        <v>338</v>
      </c>
      <c r="F123" s="16">
        <v>4</v>
      </c>
      <c r="G123" s="16"/>
      <c r="H123" s="16">
        <f t="shared" si="36"/>
        <v>0</v>
      </c>
      <c r="I123" s="16">
        <f t="shared" si="37"/>
        <v>0</v>
      </c>
      <c r="J123" s="16">
        <f t="shared" si="38"/>
        <v>0</v>
      </c>
      <c r="K123" s="16">
        <v>0.0165</v>
      </c>
      <c r="L123" s="16">
        <f t="shared" si="39"/>
        <v>0.066</v>
      </c>
      <c r="M123" s="28"/>
      <c r="N123" s="28" t="s">
        <v>361</v>
      </c>
      <c r="O123" s="16">
        <f t="shared" si="40"/>
        <v>0</v>
      </c>
      <c r="Z123" s="16">
        <f t="shared" si="41"/>
        <v>0</v>
      </c>
      <c r="AA123" s="16">
        <f t="shared" si="42"/>
        <v>0</v>
      </c>
      <c r="AB123" s="16">
        <f t="shared" si="43"/>
        <v>0</v>
      </c>
      <c r="AD123" s="32">
        <v>21</v>
      </c>
      <c r="AE123" s="32">
        <f t="shared" si="44"/>
        <v>0</v>
      </c>
      <c r="AF123" s="32">
        <f t="shared" si="45"/>
        <v>0</v>
      </c>
    </row>
    <row r="124" spans="1:32" ht="12.75">
      <c r="A124" s="6" t="s">
        <v>98</v>
      </c>
      <c r="B124" s="6" t="s">
        <v>107</v>
      </c>
      <c r="C124" s="6" t="s">
        <v>200</v>
      </c>
      <c r="D124" s="6" t="s">
        <v>320</v>
      </c>
      <c r="E124" s="6" t="s">
        <v>338</v>
      </c>
      <c r="F124" s="16">
        <v>49</v>
      </c>
      <c r="G124" s="16"/>
      <c r="H124" s="16">
        <f t="shared" si="36"/>
        <v>0</v>
      </c>
      <c r="I124" s="16">
        <f t="shared" si="37"/>
        <v>0</v>
      </c>
      <c r="J124" s="16">
        <f t="shared" si="38"/>
        <v>0</v>
      </c>
      <c r="K124" s="16">
        <v>0.0105</v>
      </c>
      <c r="L124" s="16">
        <f t="shared" si="39"/>
        <v>0.5145000000000001</v>
      </c>
      <c r="M124" s="28"/>
      <c r="N124" s="28" t="s">
        <v>361</v>
      </c>
      <c r="O124" s="16">
        <f t="shared" si="40"/>
        <v>0</v>
      </c>
      <c r="Z124" s="16">
        <f t="shared" si="41"/>
        <v>0</v>
      </c>
      <c r="AA124" s="16">
        <f t="shared" si="42"/>
        <v>0</v>
      </c>
      <c r="AB124" s="16">
        <f t="shared" si="43"/>
        <v>0</v>
      </c>
      <c r="AD124" s="32">
        <v>21</v>
      </c>
      <c r="AE124" s="32">
        <f t="shared" si="44"/>
        <v>0</v>
      </c>
      <c r="AF124" s="32">
        <f t="shared" si="45"/>
        <v>0</v>
      </c>
    </row>
    <row r="125" spans="1:32" ht="12.75">
      <c r="A125" s="6" t="s">
        <v>99</v>
      </c>
      <c r="B125" s="6" t="s">
        <v>107</v>
      </c>
      <c r="C125" s="6" t="s">
        <v>201</v>
      </c>
      <c r="D125" s="6" t="s">
        <v>321</v>
      </c>
      <c r="E125" s="6" t="s">
        <v>338</v>
      </c>
      <c r="F125" s="16">
        <v>18</v>
      </c>
      <c r="G125" s="16"/>
      <c r="H125" s="16">
        <f t="shared" si="36"/>
        <v>0</v>
      </c>
      <c r="I125" s="16">
        <f t="shared" si="37"/>
        <v>0</v>
      </c>
      <c r="J125" s="16">
        <f t="shared" si="38"/>
        <v>0</v>
      </c>
      <c r="K125" s="16">
        <v>0.006</v>
      </c>
      <c r="L125" s="16">
        <f t="shared" si="39"/>
        <v>0.108</v>
      </c>
      <c r="M125" s="28"/>
      <c r="N125" s="28" t="s">
        <v>361</v>
      </c>
      <c r="O125" s="16">
        <f t="shared" si="40"/>
        <v>0</v>
      </c>
      <c r="Z125" s="16">
        <f t="shared" si="41"/>
        <v>0</v>
      </c>
      <c r="AA125" s="16">
        <f t="shared" si="42"/>
        <v>0</v>
      </c>
      <c r="AB125" s="16">
        <f t="shared" si="43"/>
        <v>0</v>
      </c>
      <c r="AD125" s="32">
        <v>21</v>
      </c>
      <c r="AE125" s="32">
        <f t="shared" si="44"/>
        <v>0</v>
      </c>
      <c r="AF125" s="32">
        <f t="shared" si="45"/>
        <v>0</v>
      </c>
    </row>
    <row r="126" spans="1:32" ht="12.75">
      <c r="A126" s="6" t="s">
        <v>100</v>
      </c>
      <c r="B126" s="6" t="s">
        <v>107</v>
      </c>
      <c r="C126" s="6" t="s">
        <v>202</v>
      </c>
      <c r="D126" s="6" t="s">
        <v>322</v>
      </c>
      <c r="E126" s="6" t="s">
        <v>338</v>
      </c>
      <c r="F126" s="16">
        <v>2</v>
      </c>
      <c r="G126" s="16"/>
      <c r="H126" s="16">
        <f t="shared" si="36"/>
        <v>0</v>
      </c>
      <c r="I126" s="16">
        <f t="shared" si="37"/>
        <v>0</v>
      </c>
      <c r="J126" s="16">
        <f t="shared" si="38"/>
        <v>0</v>
      </c>
      <c r="K126" s="16">
        <v>0.01</v>
      </c>
      <c r="L126" s="16">
        <f t="shared" si="39"/>
        <v>0.02</v>
      </c>
      <c r="M126" s="28"/>
      <c r="N126" s="28" t="s">
        <v>361</v>
      </c>
      <c r="O126" s="16">
        <f t="shared" si="40"/>
        <v>0</v>
      </c>
      <c r="Z126" s="16">
        <f t="shared" si="41"/>
        <v>0</v>
      </c>
      <c r="AA126" s="16">
        <f t="shared" si="42"/>
        <v>0</v>
      </c>
      <c r="AB126" s="16">
        <f t="shared" si="43"/>
        <v>0</v>
      </c>
      <c r="AD126" s="32">
        <v>21</v>
      </c>
      <c r="AE126" s="32">
        <f t="shared" si="44"/>
        <v>0</v>
      </c>
      <c r="AF126" s="32">
        <f t="shared" si="45"/>
        <v>0</v>
      </c>
    </row>
    <row r="127" spans="1:32" ht="12.75">
      <c r="A127" s="6" t="s">
        <v>101</v>
      </c>
      <c r="B127" s="6" t="s">
        <v>107</v>
      </c>
      <c r="C127" s="6" t="s">
        <v>203</v>
      </c>
      <c r="D127" s="6" t="s">
        <v>323</v>
      </c>
      <c r="E127" s="6" t="s">
        <v>338</v>
      </c>
      <c r="F127" s="16">
        <v>7</v>
      </c>
      <c r="G127" s="16"/>
      <c r="H127" s="16">
        <f t="shared" si="36"/>
        <v>0</v>
      </c>
      <c r="I127" s="16">
        <f t="shared" si="37"/>
        <v>0</v>
      </c>
      <c r="J127" s="16">
        <f t="shared" si="38"/>
        <v>0</v>
      </c>
      <c r="K127" s="16">
        <v>0.36</v>
      </c>
      <c r="L127" s="16">
        <f t="shared" si="39"/>
        <v>2.52</v>
      </c>
      <c r="M127" s="28"/>
      <c r="N127" s="28" t="s">
        <v>361</v>
      </c>
      <c r="O127" s="16">
        <f t="shared" si="40"/>
        <v>0</v>
      </c>
      <c r="Z127" s="16">
        <f t="shared" si="41"/>
        <v>0</v>
      </c>
      <c r="AA127" s="16">
        <f t="shared" si="42"/>
        <v>0</v>
      </c>
      <c r="AB127" s="16">
        <f t="shared" si="43"/>
        <v>0</v>
      </c>
      <c r="AD127" s="32">
        <v>21</v>
      </c>
      <c r="AE127" s="32">
        <f t="shared" si="44"/>
        <v>0</v>
      </c>
      <c r="AF127" s="32">
        <f t="shared" si="45"/>
        <v>0</v>
      </c>
    </row>
    <row r="128" spans="1:32" ht="12.75">
      <c r="A128" s="6" t="s">
        <v>102</v>
      </c>
      <c r="B128" s="6" t="s">
        <v>107</v>
      </c>
      <c r="C128" s="6" t="s">
        <v>204</v>
      </c>
      <c r="D128" s="6" t="s">
        <v>324</v>
      </c>
      <c r="E128" s="6" t="s">
        <v>338</v>
      </c>
      <c r="F128" s="16">
        <v>12</v>
      </c>
      <c r="G128" s="16"/>
      <c r="H128" s="16">
        <f t="shared" si="36"/>
        <v>0</v>
      </c>
      <c r="I128" s="16">
        <f t="shared" si="37"/>
        <v>0</v>
      </c>
      <c r="J128" s="16">
        <f t="shared" si="38"/>
        <v>0</v>
      </c>
      <c r="K128" s="16">
        <v>0.001</v>
      </c>
      <c r="L128" s="16">
        <f t="shared" si="39"/>
        <v>0.012</v>
      </c>
      <c r="M128" s="28"/>
      <c r="N128" s="28" t="s">
        <v>361</v>
      </c>
      <c r="O128" s="16">
        <f t="shared" si="40"/>
        <v>0</v>
      </c>
      <c r="Z128" s="16">
        <f t="shared" si="41"/>
        <v>0</v>
      </c>
      <c r="AA128" s="16">
        <f t="shared" si="42"/>
        <v>0</v>
      </c>
      <c r="AB128" s="16">
        <f t="shared" si="43"/>
        <v>0</v>
      </c>
      <c r="AD128" s="32">
        <v>21</v>
      </c>
      <c r="AE128" s="32">
        <f t="shared" si="44"/>
        <v>0</v>
      </c>
      <c r="AF128" s="32">
        <f t="shared" si="45"/>
        <v>0</v>
      </c>
    </row>
    <row r="129" spans="1:32" ht="12.75">
      <c r="A129" s="6" t="s">
        <v>103</v>
      </c>
      <c r="B129" s="6" t="s">
        <v>107</v>
      </c>
      <c r="C129" s="6" t="s">
        <v>205</v>
      </c>
      <c r="D129" s="6" t="s">
        <v>325</v>
      </c>
      <c r="E129" s="6" t="s">
        <v>338</v>
      </c>
      <c r="F129" s="16">
        <v>12</v>
      </c>
      <c r="G129" s="16"/>
      <c r="H129" s="16">
        <f t="shared" si="36"/>
        <v>0</v>
      </c>
      <c r="I129" s="16">
        <f t="shared" si="37"/>
        <v>0</v>
      </c>
      <c r="J129" s="16">
        <f t="shared" si="38"/>
        <v>0</v>
      </c>
      <c r="K129" s="16">
        <v>0.001</v>
      </c>
      <c r="L129" s="16">
        <f t="shared" si="39"/>
        <v>0.012</v>
      </c>
      <c r="M129" s="28"/>
      <c r="N129" s="28" t="s">
        <v>361</v>
      </c>
      <c r="O129" s="16">
        <f t="shared" si="40"/>
        <v>0</v>
      </c>
      <c r="Z129" s="16">
        <f t="shared" si="41"/>
        <v>0</v>
      </c>
      <c r="AA129" s="16">
        <f t="shared" si="42"/>
        <v>0</v>
      </c>
      <c r="AB129" s="16">
        <f t="shared" si="43"/>
        <v>0</v>
      </c>
      <c r="AD129" s="32">
        <v>21</v>
      </c>
      <c r="AE129" s="32">
        <f t="shared" si="44"/>
        <v>0</v>
      </c>
      <c r="AF129" s="32">
        <f t="shared" si="45"/>
        <v>0</v>
      </c>
    </row>
    <row r="130" spans="1:32" ht="12.75">
      <c r="A130" s="6" t="s">
        <v>104</v>
      </c>
      <c r="B130" s="6" t="s">
        <v>107</v>
      </c>
      <c r="C130" s="6" t="s">
        <v>206</v>
      </c>
      <c r="D130" s="6" t="s">
        <v>326</v>
      </c>
      <c r="E130" s="6" t="s">
        <v>338</v>
      </c>
      <c r="F130" s="16">
        <v>12</v>
      </c>
      <c r="G130" s="16"/>
      <c r="H130" s="16">
        <f t="shared" si="36"/>
        <v>0</v>
      </c>
      <c r="I130" s="16">
        <f t="shared" si="37"/>
        <v>0</v>
      </c>
      <c r="J130" s="16">
        <f t="shared" si="38"/>
        <v>0</v>
      </c>
      <c r="K130" s="16">
        <v>0.0001</v>
      </c>
      <c r="L130" s="16">
        <f t="shared" si="39"/>
        <v>0.0012000000000000001</v>
      </c>
      <c r="M130" s="28"/>
      <c r="N130" s="28" t="s">
        <v>361</v>
      </c>
      <c r="O130" s="16">
        <f t="shared" si="40"/>
        <v>0</v>
      </c>
      <c r="Z130" s="16">
        <f t="shared" si="41"/>
        <v>0</v>
      </c>
      <c r="AA130" s="16">
        <f t="shared" si="42"/>
        <v>0</v>
      </c>
      <c r="AB130" s="16">
        <f t="shared" si="43"/>
        <v>0</v>
      </c>
      <c r="AD130" s="32">
        <v>21</v>
      </c>
      <c r="AE130" s="32">
        <f t="shared" si="44"/>
        <v>0</v>
      </c>
      <c r="AF130" s="32">
        <f t="shared" si="45"/>
        <v>0</v>
      </c>
    </row>
    <row r="131" spans="1:32" ht="12.75">
      <c r="A131" s="7" t="s">
        <v>105</v>
      </c>
      <c r="B131" s="7" t="s">
        <v>107</v>
      </c>
      <c r="C131" s="7" t="s">
        <v>207</v>
      </c>
      <c r="D131" s="7" t="s">
        <v>327</v>
      </c>
      <c r="E131" s="7" t="s">
        <v>341</v>
      </c>
      <c r="F131" s="17">
        <v>194.33</v>
      </c>
      <c r="G131" s="17"/>
      <c r="H131" s="17">
        <f t="shared" si="36"/>
        <v>0</v>
      </c>
      <c r="I131" s="17">
        <f t="shared" si="37"/>
        <v>0</v>
      </c>
      <c r="J131" s="17">
        <f t="shared" si="38"/>
        <v>0</v>
      </c>
      <c r="K131" s="17">
        <v>1</v>
      </c>
      <c r="L131" s="17">
        <f t="shared" si="39"/>
        <v>194.33</v>
      </c>
      <c r="M131" s="29"/>
      <c r="N131" s="28" t="s">
        <v>361</v>
      </c>
      <c r="O131" s="16">
        <f t="shared" si="40"/>
        <v>0</v>
      </c>
      <c r="Z131" s="16">
        <f t="shared" si="41"/>
        <v>0</v>
      </c>
      <c r="AA131" s="16">
        <f t="shared" si="42"/>
        <v>0</v>
      </c>
      <c r="AB131" s="16">
        <f t="shared" si="43"/>
        <v>0</v>
      </c>
      <c r="AD131" s="32">
        <v>21</v>
      </c>
      <c r="AE131" s="32">
        <f t="shared" si="44"/>
        <v>0</v>
      </c>
      <c r="AF131" s="32">
        <f t="shared" si="45"/>
        <v>0</v>
      </c>
    </row>
    <row r="132" spans="1:28" ht="12.75">
      <c r="A132" s="8"/>
      <c r="B132" s="8"/>
      <c r="C132" s="8"/>
      <c r="D132" s="8"/>
      <c r="E132" s="8"/>
      <c r="F132" s="8"/>
      <c r="G132" s="8"/>
      <c r="H132" s="59" t="s">
        <v>347</v>
      </c>
      <c r="I132" s="60"/>
      <c r="J132" s="35">
        <f>J13+J22+J24+J39+J44+J54+J59+J62+J64+J66+J68+J71+J74+J78+J91+J94+J96+J100+J103+J107</f>
        <v>0</v>
      </c>
      <c r="K132" s="8"/>
      <c r="L132" s="8"/>
      <c r="M132" s="8"/>
      <c r="Z132" s="36">
        <f>SUM(Z13:Z131)</f>
        <v>0</v>
      </c>
      <c r="AA132" s="36">
        <f>SUM(AA13:AA131)</f>
        <v>0</v>
      </c>
      <c r="AB132" s="36">
        <f>SUM(AB13:AB131)</f>
        <v>0</v>
      </c>
    </row>
  </sheetData>
  <sheetProtection/>
  <mergeCells count="4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22:G22"/>
    <mergeCell ref="D24:G24"/>
    <mergeCell ref="D39:G39"/>
    <mergeCell ref="D44:G44"/>
    <mergeCell ref="D54:G54"/>
    <mergeCell ref="D59:G59"/>
    <mergeCell ref="D62:G62"/>
    <mergeCell ref="D64:G64"/>
    <mergeCell ref="D66:G66"/>
    <mergeCell ref="D68:G68"/>
    <mergeCell ref="D71:G71"/>
    <mergeCell ref="D74:G74"/>
    <mergeCell ref="D78:G78"/>
    <mergeCell ref="D91:G91"/>
    <mergeCell ref="D94:G94"/>
    <mergeCell ref="D96:G96"/>
    <mergeCell ref="D100:G100"/>
    <mergeCell ref="D103:G103"/>
    <mergeCell ref="D107:G107"/>
    <mergeCell ref="H132:I132"/>
  </mergeCells>
  <printOptions gridLines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85">
      <selection activeCell="D124" sqref="D124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81.14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21.75" customHeight="1">
      <c r="A1" s="76" t="s">
        <v>374</v>
      </c>
      <c r="B1" s="77"/>
      <c r="C1" s="77"/>
      <c r="D1" s="77"/>
      <c r="E1" s="77"/>
      <c r="F1" s="77"/>
      <c r="G1" s="77"/>
      <c r="H1" s="77"/>
    </row>
    <row r="2" spans="1:9" ht="12.75">
      <c r="A2" s="78" t="s">
        <v>1</v>
      </c>
      <c r="B2" s="79"/>
      <c r="C2" s="80" t="s">
        <v>208</v>
      </c>
      <c r="D2" s="60"/>
      <c r="E2" s="83" t="s">
        <v>348</v>
      </c>
      <c r="F2" s="83" t="s">
        <v>353</v>
      </c>
      <c r="G2" s="79"/>
      <c r="H2" s="84"/>
      <c r="I2" s="30"/>
    </row>
    <row r="3" spans="1:9" ht="12.75">
      <c r="A3" s="75"/>
      <c r="B3" s="67"/>
      <c r="C3" s="81"/>
      <c r="D3" s="81"/>
      <c r="E3" s="67"/>
      <c r="F3" s="67"/>
      <c r="G3" s="67"/>
      <c r="H3" s="73"/>
      <c r="I3" s="30"/>
    </row>
    <row r="4" spans="1:9" ht="12.75">
      <c r="A4" s="66" t="s">
        <v>2</v>
      </c>
      <c r="B4" s="67"/>
      <c r="C4" s="70" t="s">
        <v>209</v>
      </c>
      <c r="D4" s="67"/>
      <c r="E4" s="70" t="s">
        <v>349</v>
      </c>
      <c r="F4" s="70" t="s">
        <v>354</v>
      </c>
      <c r="G4" s="67"/>
      <c r="H4" s="73"/>
      <c r="I4" s="30"/>
    </row>
    <row r="5" spans="1:9" ht="12.75">
      <c r="A5" s="75"/>
      <c r="B5" s="67"/>
      <c r="C5" s="67"/>
      <c r="D5" s="67"/>
      <c r="E5" s="67"/>
      <c r="F5" s="67"/>
      <c r="G5" s="67"/>
      <c r="H5" s="73"/>
      <c r="I5" s="30"/>
    </row>
    <row r="6" spans="1:9" ht="12.75">
      <c r="A6" s="66" t="s">
        <v>3</v>
      </c>
      <c r="B6" s="67"/>
      <c r="C6" s="70" t="s">
        <v>210</v>
      </c>
      <c r="D6" s="67"/>
      <c r="E6" s="70" t="s">
        <v>350</v>
      </c>
      <c r="F6" s="70"/>
      <c r="G6" s="67"/>
      <c r="H6" s="73"/>
      <c r="I6" s="30"/>
    </row>
    <row r="7" spans="1:9" ht="12.75">
      <c r="A7" s="75"/>
      <c r="B7" s="67"/>
      <c r="C7" s="67"/>
      <c r="D7" s="67"/>
      <c r="E7" s="67"/>
      <c r="F7" s="67"/>
      <c r="G7" s="67"/>
      <c r="H7" s="73"/>
      <c r="I7" s="30"/>
    </row>
    <row r="8" spans="1:9" ht="12.75">
      <c r="A8" s="66" t="s">
        <v>351</v>
      </c>
      <c r="B8" s="67"/>
      <c r="C8" s="70" t="s">
        <v>355</v>
      </c>
      <c r="D8" s="67"/>
      <c r="E8" s="71" t="s">
        <v>331</v>
      </c>
      <c r="F8" s="72">
        <v>41737</v>
      </c>
      <c r="G8" s="67"/>
      <c r="H8" s="73"/>
      <c r="I8" s="30"/>
    </row>
    <row r="9" spans="1:9" ht="12.75">
      <c r="A9" s="68"/>
      <c r="B9" s="69"/>
      <c r="C9" s="69"/>
      <c r="D9" s="69"/>
      <c r="E9" s="69"/>
      <c r="F9" s="69"/>
      <c r="G9" s="69"/>
      <c r="H9" s="74"/>
      <c r="I9" s="30"/>
    </row>
    <row r="10" spans="1:9" ht="12.75">
      <c r="A10" s="38" t="s">
        <v>5</v>
      </c>
      <c r="B10" s="39" t="s">
        <v>106</v>
      </c>
      <c r="C10" s="39" t="s">
        <v>108</v>
      </c>
      <c r="D10" s="39" t="s">
        <v>211</v>
      </c>
      <c r="E10" s="39" t="s">
        <v>332</v>
      </c>
      <c r="F10" s="39" t="s">
        <v>212</v>
      </c>
      <c r="G10" s="42" t="s">
        <v>342</v>
      </c>
      <c r="H10" s="37" t="s">
        <v>414</v>
      </c>
      <c r="I10" s="31"/>
    </row>
    <row r="11" spans="1:8" ht="12.75">
      <c r="A11" s="41" t="s">
        <v>7</v>
      </c>
      <c r="B11" s="41" t="s">
        <v>107</v>
      </c>
      <c r="C11" s="41" t="s">
        <v>109</v>
      </c>
      <c r="D11" s="41" t="s">
        <v>215</v>
      </c>
      <c r="E11" s="41" t="s">
        <v>333</v>
      </c>
      <c r="F11" s="41" t="s">
        <v>16</v>
      </c>
      <c r="G11" s="43">
        <v>10</v>
      </c>
      <c r="H11" s="44" t="s">
        <v>360</v>
      </c>
    </row>
    <row r="12" spans="1:8" ht="12.75">
      <c r="A12" s="5" t="s">
        <v>8</v>
      </c>
      <c r="B12" s="5" t="s">
        <v>107</v>
      </c>
      <c r="C12" s="5" t="s">
        <v>110</v>
      </c>
      <c r="D12" s="5" t="s">
        <v>216</v>
      </c>
      <c r="E12" s="5" t="s">
        <v>334</v>
      </c>
      <c r="F12" s="5" t="s">
        <v>21</v>
      </c>
      <c r="G12" s="15">
        <v>15</v>
      </c>
      <c r="H12" s="27" t="s">
        <v>360</v>
      </c>
    </row>
    <row r="13" spans="1:8" ht="12.75">
      <c r="A13" s="5" t="s">
        <v>9</v>
      </c>
      <c r="B13" s="5" t="s">
        <v>107</v>
      </c>
      <c r="C13" s="5" t="s">
        <v>111</v>
      </c>
      <c r="D13" s="5" t="s">
        <v>217</v>
      </c>
      <c r="E13" s="5" t="s">
        <v>335</v>
      </c>
      <c r="F13" s="5" t="s">
        <v>375</v>
      </c>
      <c r="G13" s="15">
        <v>19.6</v>
      </c>
      <c r="H13" s="27" t="s">
        <v>360</v>
      </c>
    </row>
    <row r="14" spans="1:8" ht="12.75">
      <c r="A14" s="5" t="s">
        <v>10</v>
      </c>
      <c r="B14" s="5" t="s">
        <v>107</v>
      </c>
      <c r="C14" s="5" t="s">
        <v>112</v>
      </c>
      <c r="D14" s="5" t="s">
        <v>218</v>
      </c>
      <c r="E14" s="5" t="s">
        <v>335</v>
      </c>
      <c r="F14" s="5" t="s">
        <v>376</v>
      </c>
      <c r="G14" s="15">
        <v>22.6</v>
      </c>
      <c r="H14" s="27" t="s">
        <v>360</v>
      </c>
    </row>
    <row r="15" spans="1:8" ht="12.75">
      <c r="A15" s="5" t="s">
        <v>11</v>
      </c>
      <c r="B15" s="5" t="s">
        <v>107</v>
      </c>
      <c r="C15" s="5" t="s">
        <v>113</v>
      </c>
      <c r="D15" s="5" t="s">
        <v>219</v>
      </c>
      <c r="E15" s="5" t="s">
        <v>336</v>
      </c>
      <c r="F15" s="5" t="s">
        <v>377</v>
      </c>
      <c r="G15" s="15">
        <v>190.8</v>
      </c>
      <c r="H15" s="27" t="s">
        <v>360</v>
      </c>
    </row>
    <row r="16" spans="1:8" ht="12.75">
      <c r="A16" s="5" t="s">
        <v>12</v>
      </c>
      <c r="B16" s="5" t="s">
        <v>107</v>
      </c>
      <c r="C16" s="5" t="s">
        <v>114</v>
      </c>
      <c r="D16" s="5" t="s">
        <v>220</v>
      </c>
      <c r="E16" s="5" t="s">
        <v>336</v>
      </c>
      <c r="F16" s="5" t="s">
        <v>377</v>
      </c>
      <c r="G16" s="15">
        <v>190.8</v>
      </c>
      <c r="H16" s="27" t="s">
        <v>360</v>
      </c>
    </row>
    <row r="17" spans="1:8" ht="12.75">
      <c r="A17" s="5" t="s">
        <v>13</v>
      </c>
      <c r="B17" s="5" t="s">
        <v>107</v>
      </c>
      <c r="C17" s="5" t="s">
        <v>115</v>
      </c>
      <c r="D17" s="5" t="s">
        <v>221</v>
      </c>
      <c r="E17" s="5" t="s">
        <v>336</v>
      </c>
      <c r="F17" s="5" t="s">
        <v>378</v>
      </c>
      <c r="G17" s="15">
        <v>936</v>
      </c>
      <c r="H17" s="27" t="s">
        <v>360</v>
      </c>
    </row>
    <row r="18" spans="1:8" ht="12.75">
      <c r="A18" s="5" t="s">
        <v>14</v>
      </c>
      <c r="B18" s="5" t="s">
        <v>107</v>
      </c>
      <c r="C18" s="5" t="s">
        <v>116</v>
      </c>
      <c r="D18" s="5" t="s">
        <v>222</v>
      </c>
      <c r="E18" s="5" t="s">
        <v>336</v>
      </c>
      <c r="F18" s="5" t="s">
        <v>379</v>
      </c>
      <c r="G18" s="15">
        <v>33.96</v>
      </c>
      <c r="H18" s="27" t="s">
        <v>360</v>
      </c>
    </row>
    <row r="19" spans="1:8" ht="12.75">
      <c r="A19" s="5" t="s">
        <v>15</v>
      </c>
      <c r="B19" s="5" t="s">
        <v>107</v>
      </c>
      <c r="C19" s="5" t="s">
        <v>117</v>
      </c>
      <c r="D19" s="5" t="s">
        <v>224</v>
      </c>
      <c r="E19" s="5" t="s">
        <v>337</v>
      </c>
      <c r="F19" s="5" t="s">
        <v>380</v>
      </c>
      <c r="G19" s="15">
        <v>2.25</v>
      </c>
      <c r="H19" s="27" t="s">
        <v>360</v>
      </c>
    </row>
    <row r="20" spans="1:8" ht="12.75">
      <c r="A20" s="5" t="s">
        <v>16</v>
      </c>
      <c r="B20" s="5" t="s">
        <v>107</v>
      </c>
      <c r="C20" s="5" t="s">
        <v>118</v>
      </c>
      <c r="D20" s="5" t="s">
        <v>226</v>
      </c>
      <c r="E20" s="5" t="s">
        <v>337</v>
      </c>
      <c r="F20" s="5" t="s">
        <v>381</v>
      </c>
      <c r="G20" s="15">
        <v>111.4</v>
      </c>
      <c r="H20" s="27" t="s">
        <v>360</v>
      </c>
    </row>
    <row r="21" spans="1:8" ht="12.75">
      <c r="A21" s="5" t="s">
        <v>17</v>
      </c>
      <c r="B21" s="5" t="s">
        <v>107</v>
      </c>
      <c r="C21" s="5" t="s">
        <v>119</v>
      </c>
      <c r="D21" s="5" t="s">
        <v>227</v>
      </c>
      <c r="E21" s="5" t="s">
        <v>337</v>
      </c>
      <c r="F21" s="5" t="s">
        <v>382</v>
      </c>
      <c r="G21" s="15">
        <v>29.69</v>
      </c>
      <c r="H21" s="27" t="s">
        <v>360</v>
      </c>
    </row>
    <row r="22" spans="1:8" ht="12.75">
      <c r="A22" s="5" t="s">
        <v>18</v>
      </c>
      <c r="B22" s="5" t="s">
        <v>107</v>
      </c>
      <c r="C22" s="5" t="s">
        <v>120</v>
      </c>
      <c r="D22" s="5" t="s">
        <v>228</v>
      </c>
      <c r="E22" s="5" t="s">
        <v>337</v>
      </c>
      <c r="F22" s="5" t="s">
        <v>382</v>
      </c>
      <c r="G22" s="15">
        <v>29.69</v>
      </c>
      <c r="H22" s="27" t="s">
        <v>360</v>
      </c>
    </row>
    <row r="23" spans="1:8" ht="12.75">
      <c r="A23" s="5" t="s">
        <v>19</v>
      </c>
      <c r="B23" s="5" t="s">
        <v>107</v>
      </c>
      <c r="C23" s="5" t="s">
        <v>121</v>
      </c>
      <c r="D23" s="5" t="s">
        <v>229</v>
      </c>
      <c r="E23" s="5" t="s">
        <v>337</v>
      </c>
      <c r="F23" s="5" t="s">
        <v>382</v>
      </c>
      <c r="G23" s="15">
        <v>29.69</v>
      </c>
      <c r="H23" s="27" t="s">
        <v>360</v>
      </c>
    </row>
    <row r="24" spans="1:8" ht="12.75">
      <c r="A24" s="5" t="s">
        <v>20</v>
      </c>
      <c r="B24" s="5" t="s">
        <v>107</v>
      </c>
      <c r="C24" s="5" t="s">
        <v>122</v>
      </c>
      <c r="D24" s="5" t="s">
        <v>230</v>
      </c>
      <c r="E24" s="5" t="s">
        <v>337</v>
      </c>
      <c r="F24" s="5" t="s">
        <v>382</v>
      </c>
      <c r="G24" s="15">
        <v>29.69</v>
      </c>
      <c r="H24" s="27" t="s">
        <v>360</v>
      </c>
    </row>
    <row r="25" spans="1:8" ht="12.75">
      <c r="A25" s="5" t="s">
        <v>21</v>
      </c>
      <c r="B25" s="5" t="s">
        <v>107</v>
      </c>
      <c r="C25" s="5" t="s">
        <v>123</v>
      </c>
      <c r="D25" s="5" t="s">
        <v>231</v>
      </c>
      <c r="E25" s="5" t="s">
        <v>337</v>
      </c>
      <c r="F25" s="5" t="s">
        <v>383</v>
      </c>
      <c r="G25" s="15">
        <v>134.43</v>
      </c>
      <c r="H25" s="27" t="s">
        <v>360</v>
      </c>
    </row>
    <row r="26" spans="1:8" ht="12.75">
      <c r="A26" s="5" t="s">
        <v>22</v>
      </c>
      <c r="B26" s="5" t="s">
        <v>107</v>
      </c>
      <c r="C26" s="5" t="s">
        <v>124</v>
      </c>
      <c r="D26" s="5" t="s">
        <v>232</v>
      </c>
      <c r="E26" s="5" t="s">
        <v>337</v>
      </c>
      <c r="F26" s="5" t="s">
        <v>383</v>
      </c>
      <c r="G26" s="15">
        <v>134.43</v>
      </c>
      <c r="H26" s="27" t="s">
        <v>360</v>
      </c>
    </row>
    <row r="27" spans="1:8" ht="12.75">
      <c r="A27" s="5" t="s">
        <v>23</v>
      </c>
      <c r="B27" s="5" t="s">
        <v>107</v>
      </c>
      <c r="C27" s="5" t="s">
        <v>125</v>
      </c>
      <c r="D27" s="5" t="s">
        <v>233</v>
      </c>
      <c r="E27" s="5" t="s">
        <v>337</v>
      </c>
      <c r="F27" s="5" t="s">
        <v>383</v>
      </c>
      <c r="G27" s="15">
        <v>134.43</v>
      </c>
      <c r="H27" s="27" t="s">
        <v>360</v>
      </c>
    </row>
    <row r="28" spans="1:8" ht="12.75">
      <c r="A28" s="5" t="s">
        <v>24</v>
      </c>
      <c r="B28" s="5" t="s">
        <v>107</v>
      </c>
      <c r="C28" s="5" t="s">
        <v>126</v>
      </c>
      <c r="D28" s="5" t="s">
        <v>234</v>
      </c>
      <c r="E28" s="5" t="s">
        <v>337</v>
      </c>
      <c r="F28" s="5" t="s">
        <v>383</v>
      </c>
      <c r="G28" s="15">
        <v>134.43</v>
      </c>
      <c r="H28" s="27" t="s">
        <v>360</v>
      </c>
    </row>
    <row r="29" spans="1:8" ht="12.75">
      <c r="A29" s="5" t="s">
        <v>25</v>
      </c>
      <c r="B29" s="5" t="s">
        <v>107</v>
      </c>
      <c r="C29" s="5" t="s">
        <v>127</v>
      </c>
      <c r="D29" s="5" t="s">
        <v>235</v>
      </c>
      <c r="E29" s="5" t="s">
        <v>337</v>
      </c>
      <c r="F29" s="5" t="s">
        <v>384</v>
      </c>
      <c r="G29" s="15">
        <v>63.4</v>
      </c>
      <c r="H29" s="27" t="s">
        <v>360</v>
      </c>
    </row>
    <row r="30" spans="1:8" ht="12.75">
      <c r="A30" s="5" t="s">
        <v>26</v>
      </c>
      <c r="B30" s="5" t="s">
        <v>107</v>
      </c>
      <c r="C30" s="5" t="s">
        <v>128</v>
      </c>
      <c r="D30" s="5" t="s">
        <v>236</v>
      </c>
      <c r="E30" s="5" t="s">
        <v>337</v>
      </c>
      <c r="F30" s="5" t="s">
        <v>384</v>
      </c>
      <c r="G30" s="15">
        <v>63.4</v>
      </c>
      <c r="H30" s="27" t="s">
        <v>360</v>
      </c>
    </row>
    <row r="31" spans="1:8" ht="12.75">
      <c r="A31" s="5" t="s">
        <v>27</v>
      </c>
      <c r="B31" s="5" t="s">
        <v>107</v>
      </c>
      <c r="C31" s="5" t="s">
        <v>129</v>
      </c>
      <c r="D31" s="5" t="s">
        <v>237</v>
      </c>
      <c r="E31" s="5" t="s">
        <v>337</v>
      </c>
      <c r="F31" s="5" t="s">
        <v>384</v>
      </c>
      <c r="G31" s="15">
        <v>63.4</v>
      </c>
      <c r="H31" s="27" t="s">
        <v>360</v>
      </c>
    </row>
    <row r="32" spans="1:8" ht="12.75">
      <c r="A32" s="5" t="s">
        <v>28</v>
      </c>
      <c r="B32" s="5" t="s">
        <v>107</v>
      </c>
      <c r="C32" s="5" t="s">
        <v>130</v>
      </c>
      <c r="D32" s="5" t="s">
        <v>238</v>
      </c>
      <c r="E32" s="5" t="s">
        <v>337</v>
      </c>
      <c r="F32" s="5" t="s">
        <v>384</v>
      </c>
      <c r="G32" s="15">
        <v>63.4</v>
      </c>
      <c r="H32" s="27" t="s">
        <v>360</v>
      </c>
    </row>
    <row r="33" spans="1:8" ht="12.75">
      <c r="A33" s="5" t="s">
        <v>29</v>
      </c>
      <c r="B33" s="5" t="s">
        <v>107</v>
      </c>
      <c r="C33" s="5" t="s">
        <v>131</v>
      </c>
      <c r="D33" s="5" t="s">
        <v>239</v>
      </c>
      <c r="E33" s="5" t="s">
        <v>337</v>
      </c>
      <c r="F33" s="5" t="s">
        <v>14</v>
      </c>
      <c r="G33" s="15">
        <v>8</v>
      </c>
      <c r="H33" s="27" t="s">
        <v>360</v>
      </c>
    </row>
    <row r="34" spans="1:8" ht="12.75">
      <c r="A34" s="5" t="s">
        <v>30</v>
      </c>
      <c r="B34" s="5" t="s">
        <v>107</v>
      </c>
      <c r="C34" s="5" t="s">
        <v>132</v>
      </c>
      <c r="D34" s="5" t="s">
        <v>241</v>
      </c>
      <c r="E34" s="5" t="s">
        <v>336</v>
      </c>
      <c r="F34" s="5" t="s">
        <v>385</v>
      </c>
      <c r="G34" s="15">
        <v>402</v>
      </c>
      <c r="H34" s="27" t="s">
        <v>360</v>
      </c>
    </row>
    <row r="35" spans="1:8" ht="12.75">
      <c r="A35" s="5" t="s">
        <v>31</v>
      </c>
      <c r="B35" s="5" t="s">
        <v>107</v>
      </c>
      <c r="C35" s="5" t="s">
        <v>133</v>
      </c>
      <c r="D35" s="5" t="s">
        <v>242</v>
      </c>
      <c r="E35" s="5" t="s">
        <v>336</v>
      </c>
      <c r="F35" s="5" t="s">
        <v>385</v>
      </c>
      <c r="G35" s="15">
        <v>402</v>
      </c>
      <c r="H35" s="27" t="s">
        <v>360</v>
      </c>
    </row>
    <row r="36" spans="1:8" ht="12.75">
      <c r="A36" s="5" t="s">
        <v>32</v>
      </c>
      <c r="B36" s="5" t="s">
        <v>107</v>
      </c>
      <c r="C36" s="5" t="s">
        <v>134</v>
      </c>
      <c r="D36" s="5" t="s">
        <v>243</v>
      </c>
      <c r="E36" s="5" t="s">
        <v>336</v>
      </c>
      <c r="F36" s="5" t="s">
        <v>386</v>
      </c>
      <c r="G36" s="15">
        <v>677.6</v>
      </c>
      <c r="H36" s="27" t="s">
        <v>360</v>
      </c>
    </row>
    <row r="37" spans="1:8" ht="12.75">
      <c r="A37" s="5" t="s">
        <v>33</v>
      </c>
      <c r="B37" s="5" t="s">
        <v>107</v>
      </c>
      <c r="C37" s="5" t="s">
        <v>135</v>
      </c>
      <c r="D37" s="5" t="s">
        <v>244</v>
      </c>
      <c r="E37" s="5" t="s">
        <v>336</v>
      </c>
      <c r="F37" s="5" t="s">
        <v>386</v>
      </c>
      <c r="G37" s="15">
        <v>677.6</v>
      </c>
      <c r="H37" s="27" t="s">
        <v>360</v>
      </c>
    </row>
    <row r="38" spans="1:8" ht="12.75">
      <c r="A38" s="5" t="s">
        <v>34</v>
      </c>
      <c r="B38" s="5" t="s">
        <v>107</v>
      </c>
      <c r="C38" s="5" t="s">
        <v>136</v>
      </c>
      <c r="D38" s="5" t="s">
        <v>246</v>
      </c>
      <c r="E38" s="5" t="s">
        <v>337</v>
      </c>
      <c r="F38" s="5" t="s">
        <v>387</v>
      </c>
      <c r="G38" s="15">
        <v>455.03</v>
      </c>
      <c r="H38" s="27" t="s">
        <v>360</v>
      </c>
    </row>
    <row r="39" spans="1:8" ht="12.75">
      <c r="A39" s="5" t="s">
        <v>35</v>
      </c>
      <c r="B39" s="5" t="s">
        <v>107</v>
      </c>
      <c r="C39" s="5" t="s">
        <v>137</v>
      </c>
      <c r="D39" s="5" t="s">
        <v>247</v>
      </c>
      <c r="E39" s="5" t="s">
        <v>337</v>
      </c>
      <c r="F39" s="5" t="s">
        <v>388</v>
      </c>
      <c r="G39" s="15">
        <v>247.92</v>
      </c>
      <c r="H39" s="27" t="s">
        <v>360</v>
      </c>
    </row>
    <row r="40" spans="1:7" ht="12.75">
      <c r="A40" s="5"/>
      <c r="B40" s="5"/>
      <c r="C40" s="5"/>
      <c r="D40" s="5"/>
      <c r="E40" s="5"/>
      <c r="F40" s="5" t="s">
        <v>389</v>
      </c>
      <c r="G40" s="15">
        <v>48.36</v>
      </c>
    </row>
    <row r="41" spans="1:7" ht="12.75">
      <c r="A41" s="5"/>
      <c r="B41" s="5"/>
      <c r="C41" s="5"/>
      <c r="D41" s="5"/>
      <c r="E41" s="5"/>
      <c r="F41" s="5" t="s">
        <v>390</v>
      </c>
      <c r="G41" s="15">
        <v>29.76</v>
      </c>
    </row>
    <row r="42" spans="1:8" ht="12.75">
      <c r="A42" s="5" t="s">
        <v>36</v>
      </c>
      <c r="B42" s="5" t="s">
        <v>107</v>
      </c>
      <c r="C42" s="5" t="s">
        <v>138</v>
      </c>
      <c r="D42" s="5" t="s">
        <v>248</v>
      </c>
      <c r="E42" s="5" t="s">
        <v>337</v>
      </c>
      <c r="F42" s="5" t="s">
        <v>391</v>
      </c>
      <c r="G42" s="15">
        <v>207.11</v>
      </c>
      <c r="H42" s="27" t="s">
        <v>360</v>
      </c>
    </row>
    <row r="43" spans="1:8" ht="12.75">
      <c r="A43" s="5" t="s">
        <v>37</v>
      </c>
      <c r="B43" s="5" t="s">
        <v>107</v>
      </c>
      <c r="C43" s="5" t="s">
        <v>139</v>
      </c>
      <c r="D43" s="5" t="s">
        <v>249</v>
      </c>
      <c r="E43" s="5" t="s">
        <v>337</v>
      </c>
      <c r="F43" s="5" t="s">
        <v>391</v>
      </c>
      <c r="G43" s="15">
        <v>207.11</v>
      </c>
      <c r="H43" s="27" t="s">
        <v>360</v>
      </c>
    </row>
    <row r="44" spans="1:8" ht="12.75">
      <c r="A44" s="5" t="s">
        <v>38</v>
      </c>
      <c r="B44" s="5" t="s">
        <v>107</v>
      </c>
      <c r="C44" s="5" t="s">
        <v>139</v>
      </c>
      <c r="D44" s="5" t="s">
        <v>249</v>
      </c>
      <c r="E44" s="5" t="s">
        <v>337</v>
      </c>
      <c r="F44" s="5" t="s">
        <v>391</v>
      </c>
      <c r="G44" s="15">
        <v>207.11</v>
      </c>
      <c r="H44" s="27" t="s">
        <v>360</v>
      </c>
    </row>
    <row r="45" spans="1:8" ht="12.75">
      <c r="A45" s="5" t="s">
        <v>39</v>
      </c>
      <c r="B45" s="5" t="s">
        <v>107</v>
      </c>
      <c r="C45" s="5" t="s">
        <v>139</v>
      </c>
      <c r="D45" s="5" t="s">
        <v>249</v>
      </c>
      <c r="E45" s="5" t="s">
        <v>337</v>
      </c>
      <c r="F45" s="5" t="s">
        <v>391</v>
      </c>
      <c r="G45" s="15">
        <v>207.11</v>
      </c>
      <c r="H45" s="27" t="s">
        <v>360</v>
      </c>
    </row>
    <row r="46" spans="1:8" ht="12.75">
      <c r="A46" s="5" t="s">
        <v>40</v>
      </c>
      <c r="B46" s="5" t="s">
        <v>107</v>
      </c>
      <c r="C46" s="5" t="s">
        <v>139</v>
      </c>
      <c r="D46" s="5" t="s">
        <v>249</v>
      </c>
      <c r="E46" s="5" t="s">
        <v>337</v>
      </c>
      <c r="F46" s="5" t="s">
        <v>391</v>
      </c>
      <c r="G46" s="15">
        <v>207.11</v>
      </c>
      <c r="H46" s="27" t="s">
        <v>360</v>
      </c>
    </row>
    <row r="47" spans="1:8" ht="12.75">
      <c r="A47" s="5" t="s">
        <v>41</v>
      </c>
      <c r="B47" s="5" t="s">
        <v>107</v>
      </c>
      <c r="C47" s="5" t="s">
        <v>140</v>
      </c>
      <c r="D47" s="5" t="s">
        <v>250</v>
      </c>
      <c r="E47" s="5" t="s">
        <v>337</v>
      </c>
      <c r="F47" s="5" t="s">
        <v>391</v>
      </c>
      <c r="G47" s="15">
        <v>207.11</v>
      </c>
      <c r="H47" s="27" t="s">
        <v>360</v>
      </c>
    </row>
    <row r="48" spans="1:8" ht="12.75">
      <c r="A48" s="5" t="s">
        <v>42</v>
      </c>
      <c r="B48" s="5" t="s">
        <v>107</v>
      </c>
      <c r="C48" s="5" t="s">
        <v>141</v>
      </c>
      <c r="D48" s="5" t="s">
        <v>251</v>
      </c>
      <c r="E48" s="5" t="s">
        <v>337</v>
      </c>
      <c r="F48" s="5" t="s">
        <v>14</v>
      </c>
      <c r="G48" s="15">
        <v>8</v>
      </c>
      <c r="H48" s="27" t="s">
        <v>360</v>
      </c>
    </row>
    <row r="49" spans="1:8" ht="38.25">
      <c r="A49" s="5" t="s">
        <v>43</v>
      </c>
      <c r="B49" s="5" t="s">
        <v>107</v>
      </c>
      <c r="C49" s="5" t="s">
        <v>142</v>
      </c>
      <c r="D49" s="5" t="s">
        <v>253</v>
      </c>
      <c r="E49" s="5" t="s">
        <v>337</v>
      </c>
      <c r="F49" s="5" t="s">
        <v>392</v>
      </c>
      <c r="G49" s="15">
        <v>106.19</v>
      </c>
      <c r="H49" s="45" t="s">
        <v>415</v>
      </c>
    </row>
    <row r="50" spans="1:7" ht="12.75">
      <c r="A50" s="5"/>
      <c r="B50" s="5"/>
      <c r="C50" s="5"/>
      <c r="D50" s="5"/>
      <c r="E50" s="5"/>
      <c r="F50" s="5" t="s">
        <v>393</v>
      </c>
      <c r="G50" s="15">
        <v>31.29</v>
      </c>
    </row>
    <row r="51" spans="1:8" ht="12.75">
      <c r="A51" s="5" t="s">
        <v>44</v>
      </c>
      <c r="B51" s="5" t="s">
        <v>107</v>
      </c>
      <c r="C51" s="5" t="s">
        <v>143</v>
      </c>
      <c r="D51" s="5" t="s">
        <v>254</v>
      </c>
      <c r="E51" s="5" t="s">
        <v>337</v>
      </c>
      <c r="F51" s="5" t="s">
        <v>388</v>
      </c>
      <c r="G51" s="15">
        <v>247.92</v>
      </c>
      <c r="H51" s="27" t="s">
        <v>360</v>
      </c>
    </row>
    <row r="52" spans="1:7" ht="12.75">
      <c r="A52" s="5"/>
      <c r="B52" s="5"/>
      <c r="C52" s="5"/>
      <c r="D52" s="5"/>
      <c r="E52" s="5"/>
      <c r="F52" s="5" t="s">
        <v>389</v>
      </c>
      <c r="G52" s="15">
        <v>48.36</v>
      </c>
    </row>
    <row r="53" spans="1:7" ht="12.75">
      <c r="A53" s="5"/>
      <c r="B53" s="5"/>
      <c r="C53" s="5"/>
      <c r="D53" s="5"/>
      <c r="E53" s="5"/>
      <c r="F53" s="5" t="s">
        <v>390</v>
      </c>
      <c r="G53" s="15">
        <v>29.76</v>
      </c>
    </row>
    <row r="54" spans="1:8" ht="12.75">
      <c r="A54" s="5" t="s">
        <v>45</v>
      </c>
      <c r="B54" s="5" t="s">
        <v>107</v>
      </c>
      <c r="C54" s="5" t="s">
        <v>144</v>
      </c>
      <c r="D54" s="5" t="s">
        <v>255</v>
      </c>
      <c r="E54" s="5" t="s">
        <v>337</v>
      </c>
      <c r="F54" s="5" t="s">
        <v>394</v>
      </c>
      <c r="G54" s="15">
        <v>207.11</v>
      </c>
      <c r="H54" s="27" t="s">
        <v>360</v>
      </c>
    </row>
    <row r="55" spans="1:7" ht="12.75">
      <c r="A55" s="5"/>
      <c r="B55" s="5"/>
      <c r="C55" s="5"/>
      <c r="D55" s="5"/>
      <c r="E55" s="5"/>
      <c r="F55" s="5" t="s">
        <v>395</v>
      </c>
      <c r="G55" s="15">
        <v>268.85</v>
      </c>
    </row>
    <row r="56" spans="1:7" ht="12.75">
      <c r="A56" s="5"/>
      <c r="B56" s="5"/>
      <c r="C56" s="5"/>
      <c r="D56" s="5"/>
      <c r="E56" s="5"/>
      <c r="F56" s="5" t="s">
        <v>396</v>
      </c>
      <c r="G56" s="15">
        <v>126.8</v>
      </c>
    </row>
    <row r="57" spans="1:7" ht="12.75">
      <c r="A57" s="5"/>
      <c r="B57" s="5"/>
      <c r="C57" s="5"/>
      <c r="D57" s="5"/>
      <c r="E57" s="5"/>
      <c r="F57" s="5" t="s">
        <v>397</v>
      </c>
      <c r="G57" s="15">
        <v>-247.92</v>
      </c>
    </row>
    <row r="58" spans="1:8" ht="12.75">
      <c r="A58" s="5" t="s">
        <v>46</v>
      </c>
      <c r="B58" s="5" t="s">
        <v>107</v>
      </c>
      <c r="C58" s="5" t="s">
        <v>145</v>
      </c>
      <c r="D58" s="5" t="s">
        <v>256</v>
      </c>
      <c r="E58" s="5"/>
      <c r="F58" s="5" t="s">
        <v>8</v>
      </c>
      <c r="G58" s="15">
        <v>2</v>
      </c>
      <c r="H58" s="27"/>
    </row>
    <row r="59" spans="1:8" ht="12.75">
      <c r="A59" s="5" t="s">
        <v>47</v>
      </c>
      <c r="B59" s="5" t="s">
        <v>107</v>
      </c>
      <c r="C59" s="5" t="s">
        <v>146</v>
      </c>
      <c r="D59" s="5" t="s">
        <v>258</v>
      </c>
      <c r="E59" s="5" t="s">
        <v>336</v>
      </c>
      <c r="F59" s="5" t="s">
        <v>398</v>
      </c>
      <c r="G59" s="15">
        <v>7.5</v>
      </c>
      <c r="H59" s="27" t="s">
        <v>360</v>
      </c>
    </row>
    <row r="60" spans="1:8" ht="12.75">
      <c r="A60" s="5" t="s">
        <v>48</v>
      </c>
      <c r="B60" s="5" t="s">
        <v>107</v>
      </c>
      <c r="C60" s="5" t="s">
        <v>147</v>
      </c>
      <c r="D60" s="5" t="s">
        <v>259</v>
      </c>
      <c r="E60" s="5" t="s">
        <v>336</v>
      </c>
      <c r="F60" s="5" t="s">
        <v>398</v>
      </c>
      <c r="G60" s="15">
        <v>7.5</v>
      </c>
      <c r="H60" s="27" t="s">
        <v>360</v>
      </c>
    </row>
    <row r="61" spans="1:8" ht="12.75">
      <c r="A61" s="5" t="s">
        <v>49</v>
      </c>
      <c r="B61" s="5" t="s">
        <v>107</v>
      </c>
      <c r="C61" s="5" t="s">
        <v>148</v>
      </c>
      <c r="D61" s="5" t="s">
        <v>261</v>
      </c>
      <c r="E61" s="5" t="s">
        <v>335</v>
      </c>
      <c r="F61" s="5" t="s">
        <v>399</v>
      </c>
      <c r="G61" s="15">
        <v>154</v>
      </c>
      <c r="H61" s="27" t="s">
        <v>360</v>
      </c>
    </row>
    <row r="62" spans="1:8" ht="12.75">
      <c r="A62" s="5" t="s">
        <v>50</v>
      </c>
      <c r="B62" s="5" t="s">
        <v>107</v>
      </c>
      <c r="C62" s="5" t="s">
        <v>149</v>
      </c>
      <c r="D62" s="5" t="s">
        <v>263</v>
      </c>
      <c r="E62" s="5" t="s">
        <v>337</v>
      </c>
      <c r="F62" s="5" t="s">
        <v>400</v>
      </c>
      <c r="G62" s="15">
        <v>23.44</v>
      </c>
      <c r="H62" s="27" t="s">
        <v>360</v>
      </c>
    </row>
    <row r="63" spans="1:8" ht="12.75">
      <c r="A63" s="5" t="s">
        <v>51</v>
      </c>
      <c r="B63" s="5" t="s">
        <v>107</v>
      </c>
      <c r="C63" s="5" t="s">
        <v>150</v>
      </c>
      <c r="D63" s="5" t="s">
        <v>265</v>
      </c>
      <c r="E63" s="5" t="s">
        <v>336</v>
      </c>
      <c r="F63" s="5" t="s">
        <v>377</v>
      </c>
      <c r="G63" s="15">
        <v>190.8</v>
      </c>
      <c r="H63" s="27" t="s">
        <v>360</v>
      </c>
    </row>
    <row r="64" spans="1:8" ht="12.75">
      <c r="A64" s="5" t="s">
        <v>52</v>
      </c>
      <c r="B64" s="5" t="s">
        <v>107</v>
      </c>
      <c r="C64" s="5" t="s">
        <v>151</v>
      </c>
      <c r="D64" s="5" t="s">
        <v>267</v>
      </c>
      <c r="E64" s="5" t="s">
        <v>336</v>
      </c>
      <c r="F64" s="5" t="s">
        <v>377</v>
      </c>
      <c r="G64" s="15">
        <v>190.8</v>
      </c>
      <c r="H64" s="27" t="s">
        <v>360</v>
      </c>
    </row>
    <row r="65" spans="1:8" ht="12.75">
      <c r="A65" s="5" t="s">
        <v>53</v>
      </c>
      <c r="B65" s="5" t="s">
        <v>107</v>
      </c>
      <c r="C65" s="5" t="s">
        <v>152</v>
      </c>
      <c r="D65" s="5" t="s">
        <v>268</v>
      </c>
      <c r="E65" s="5" t="s">
        <v>336</v>
      </c>
      <c r="F65" s="5" t="s">
        <v>378</v>
      </c>
      <c r="G65" s="15">
        <v>936</v>
      </c>
      <c r="H65" s="27" t="s">
        <v>360</v>
      </c>
    </row>
    <row r="66" spans="1:8" ht="12.75">
      <c r="A66" s="5" t="s">
        <v>54</v>
      </c>
      <c r="B66" s="5" t="s">
        <v>107</v>
      </c>
      <c r="C66" s="5" t="s">
        <v>153</v>
      </c>
      <c r="D66" s="5" t="s">
        <v>270</v>
      </c>
      <c r="E66" s="5" t="s">
        <v>335</v>
      </c>
      <c r="F66" s="5" t="s">
        <v>18</v>
      </c>
      <c r="G66" s="15">
        <v>12</v>
      </c>
      <c r="H66" s="27" t="s">
        <v>360</v>
      </c>
    </row>
    <row r="67" spans="1:8" ht="12.75">
      <c r="A67" s="5" t="s">
        <v>55</v>
      </c>
      <c r="B67" s="5" t="s">
        <v>107</v>
      </c>
      <c r="C67" s="5" t="s">
        <v>154</v>
      </c>
      <c r="D67" s="5" t="s">
        <v>271</v>
      </c>
      <c r="E67" s="5" t="s">
        <v>336</v>
      </c>
      <c r="F67" s="5" t="s">
        <v>379</v>
      </c>
      <c r="G67" s="15">
        <v>33.96</v>
      </c>
      <c r="H67" s="27" t="s">
        <v>360</v>
      </c>
    </row>
    <row r="68" spans="1:8" ht="12.75">
      <c r="A68" s="5" t="s">
        <v>56</v>
      </c>
      <c r="B68" s="5" t="s">
        <v>107</v>
      </c>
      <c r="C68" s="5" t="s">
        <v>155</v>
      </c>
      <c r="D68" s="5" t="s">
        <v>273</v>
      </c>
      <c r="E68" s="5" t="s">
        <v>335</v>
      </c>
      <c r="F68" s="5" t="s">
        <v>401</v>
      </c>
      <c r="G68" s="15">
        <v>146.46</v>
      </c>
      <c r="H68" s="27" t="s">
        <v>360</v>
      </c>
    </row>
    <row r="69" spans="1:8" ht="12.75">
      <c r="A69" s="5" t="s">
        <v>57</v>
      </c>
      <c r="B69" s="5" t="s">
        <v>107</v>
      </c>
      <c r="C69" s="5" t="s">
        <v>156</v>
      </c>
      <c r="D69" s="5" t="s">
        <v>274</v>
      </c>
      <c r="E69" s="5" t="s">
        <v>335</v>
      </c>
      <c r="F69" s="5" t="s">
        <v>402</v>
      </c>
      <c r="G69" s="15">
        <v>168.32</v>
      </c>
      <c r="H69" s="27" t="s">
        <v>360</v>
      </c>
    </row>
    <row r="70" spans="1:8" ht="12.75">
      <c r="A70" s="5" t="s">
        <v>58</v>
      </c>
      <c r="B70" s="5" t="s">
        <v>107</v>
      </c>
      <c r="C70" s="5" t="s">
        <v>157</v>
      </c>
      <c r="D70" s="5" t="s">
        <v>275</v>
      </c>
      <c r="E70" s="5" t="s">
        <v>338</v>
      </c>
      <c r="F70" s="5" t="s">
        <v>26</v>
      </c>
      <c r="G70" s="15">
        <v>20</v>
      </c>
      <c r="H70" s="27" t="s">
        <v>360</v>
      </c>
    </row>
    <row r="71" spans="1:8" ht="38.25">
      <c r="A71" s="5" t="s">
        <v>59</v>
      </c>
      <c r="B71" s="5" t="s">
        <v>107</v>
      </c>
      <c r="C71" s="5" t="s">
        <v>158</v>
      </c>
      <c r="D71" s="5" t="s">
        <v>277</v>
      </c>
      <c r="E71" s="5" t="s">
        <v>338</v>
      </c>
      <c r="F71" s="5" t="s">
        <v>13</v>
      </c>
      <c r="G71" s="15">
        <v>7</v>
      </c>
      <c r="H71" s="45" t="s">
        <v>416</v>
      </c>
    </row>
    <row r="72" spans="1:8" ht="38.25">
      <c r="A72" s="5" t="s">
        <v>60</v>
      </c>
      <c r="B72" s="5" t="s">
        <v>107</v>
      </c>
      <c r="C72" s="5" t="s">
        <v>159</v>
      </c>
      <c r="D72" s="5" t="s">
        <v>278</v>
      </c>
      <c r="E72" s="5" t="s">
        <v>338</v>
      </c>
      <c r="F72" s="5" t="s">
        <v>13</v>
      </c>
      <c r="G72" s="15">
        <v>7</v>
      </c>
      <c r="H72" s="45" t="s">
        <v>417</v>
      </c>
    </row>
    <row r="73" spans="1:8" ht="12.75">
      <c r="A73" s="5" t="s">
        <v>61</v>
      </c>
      <c r="B73" s="5" t="s">
        <v>107</v>
      </c>
      <c r="C73" s="5" t="s">
        <v>160</v>
      </c>
      <c r="D73" s="5" t="s">
        <v>279</v>
      </c>
      <c r="E73" s="5" t="s">
        <v>338</v>
      </c>
      <c r="F73" s="5" t="s">
        <v>11</v>
      </c>
      <c r="G73" s="15">
        <v>5</v>
      </c>
      <c r="H73" s="27" t="s">
        <v>360</v>
      </c>
    </row>
    <row r="74" spans="1:8" ht="12.75">
      <c r="A74" s="5" t="s">
        <v>62</v>
      </c>
      <c r="B74" s="5" t="s">
        <v>107</v>
      </c>
      <c r="C74" s="5" t="s">
        <v>161</v>
      </c>
      <c r="D74" s="5" t="s">
        <v>280</v>
      </c>
      <c r="E74" s="5" t="s">
        <v>338</v>
      </c>
      <c r="F74" s="5" t="s">
        <v>11</v>
      </c>
      <c r="G74" s="15">
        <v>5</v>
      </c>
      <c r="H74" s="27" t="s">
        <v>360</v>
      </c>
    </row>
    <row r="75" spans="1:8" ht="12.75">
      <c r="A75" s="5" t="s">
        <v>63</v>
      </c>
      <c r="B75" s="5" t="s">
        <v>107</v>
      </c>
      <c r="C75" s="5" t="s">
        <v>162</v>
      </c>
      <c r="D75" s="5" t="s">
        <v>281</v>
      </c>
      <c r="E75" s="5" t="s">
        <v>338</v>
      </c>
      <c r="F75" s="5" t="s">
        <v>11</v>
      </c>
      <c r="G75" s="15">
        <v>5</v>
      </c>
      <c r="H75" s="27" t="s">
        <v>360</v>
      </c>
    </row>
    <row r="76" spans="1:8" ht="12.75">
      <c r="A76" s="5" t="s">
        <v>64</v>
      </c>
      <c r="B76" s="5" t="s">
        <v>107</v>
      </c>
      <c r="C76" s="5" t="s">
        <v>163</v>
      </c>
      <c r="D76" s="5" t="s">
        <v>282</v>
      </c>
      <c r="E76" s="5" t="s">
        <v>338</v>
      </c>
      <c r="F76" s="5" t="s">
        <v>19</v>
      </c>
      <c r="G76" s="15">
        <v>13</v>
      </c>
      <c r="H76" s="27" t="s">
        <v>360</v>
      </c>
    </row>
    <row r="77" spans="1:8" ht="12.75">
      <c r="A77" s="5" t="s">
        <v>65</v>
      </c>
      <c r="B77" s="5" t="s">
        <v>107</v>
      </c>
      <c r="C77" s="5" t="s">
        <v>164</v>
      </c>
      <c r="D77" s="5" t="s">
        <v>283</v>
      </c>
      <c r="E77" s="5" t="s">
        <v>337</v>
      </c>
      <c r="F77" s="5" t="s">
        <v>7</v>
      </c>
      <c r="G77" s="15">
        <v>1</v>
      </c>
      <c r="H77" s="27" t="s">
        <v>360</v>
      </c>
    </row>
    <row r="78" spans="1:8" ht="12.75">
      <c r="A78" s="5" t="s">
        <v>66</v>
      </c>
      <c r="B78" s="5" t="s">
        <v>107</v>
      </c>
      <c r="C78" s="5" t="s">
        <v>165</v>
      </c>
      <c r="D78" s="5" t="s">
        <v>284</v>
      </c>
      <c r="E78" s="5" t="s">
        <v>335</v>
      </c>
      <c r="F78" s="5" t="s">
        <v>399</v>
      </c>
      <c r="G78" s="15">
        <v>154</v>
      </c>
      <c r="H78" s="27" t="s">
        <v>360</v>
      </c>
    </row>
    <row r="79" spans="1:8" ht="12.75">
      <c r="A79" s="5" t="s">
        <v>67</v>
      </c>
      <c r="B79" s="5" t="s">
        <v>107</v>
      </c>
      <c r="C79" s="5" t="s">
        <v>166</v>
      </c>
      <c r="D79" s="5" t="s">
        <v>285</v>
      </c>
      <c r="E79" s="5" t="s">
        <v>339</v>
      </c>
      <c r="F79" s="5" t="s">
        <v>11</v>
      </c>
      <c r="G79" s="15">
        <v>5</v>
      </c>
      <c r="H79" s="27" t="s">
        <v>360</v>
      </c>
    </row>
    <row r="80" spans="1:8" ht="12.75">
      <c r="A80" s="5" t="s">
        <v>68</v>
      </c>
      <c r="B80" s="5" t="s">
        <v>107</v>
      </c>
      <c r="C80" s="5" t="s">
        <v>167</v>
      </c>
      <c r="D80" s="5" t="s">
        <v>286</v>
      </c>
      <c r="E80" s="5" t="s">
        <v>335</v>
      </c>
      <c r="F80" s="5" t="s">
        <v>403</v>
      </c>
      <c r="G80" s="15">
        <v>134</v>
      </c>
      <c r="H80" s="27" t="s">
        <v>360</v>
      </c>
    </row>
    <row r="81" spans="1:8" ht="12.75">
      <c r="A81" s="5" t="s">
        <v>69</v>
      </c>
      <c r="B81" s="5" t="s">
        <v>107</v>
      </c>
      <c r="C81" s="5" t="s">
        <v>168</v>
      </c>
      <c r="D81" s="5" t="s">
        <v>287</v>
      </c>
      <c r="E81" s="5" t="s">
        <v>339</v>
      </c>
      <c r="F81" s="5" t="s">
        <v>26</v>
      </c>
      <c r="G81" s="15">
        <v>20</v>
      </c>
      <c r="H81" s="27" t="s">
        <v>360</v>
      </c>
    </row>
    <row r="82" spans="1:8" ht="12.75">
      <c r="A82" s="5" t="s">
        <v>70</v>
      </c>
      <c r="B82" s="5" t="s">
        <v>107</v>
      </c>
      <c r="C82" s="5" t="s">
        <v>169</v>
      </c>
      <c r="D82" s="5" t="s">
        <v>288</v>
      </c>
      <c r="E82" s="5" t="s">
        <v>335</v>
      </c>
      <c r="F82" s="5" t="s">
        <v>399</v>
      </c>
      <c r="G82" s="15">
        <v>154</v>
      </c>
      <c r="H82" s="27" t="s">
        <v>360</v>
      </c>
    </row>
    <row r="83" spans="1:8" ht="12.75">
      <c r="A83" s="5" t="s">
        <v>71</v>
      </c>
      <c r="B83" s="5" t="s">
        <v>107</v>
      </c>
      <c r="C83" s="5" t="s">
        <v>170</v>
      </c>
      <c r="D83" s="5" t="s">
        <v>290</v>
      </c>
      <c r="E83" s="5" t="s">
        <v>335</v>
      </c>
      <c r="F83" s="5" t="s">
        <v>404</v>
      </c>
      <c r="G83" s="15">
        <v>12</v>
      </c>
      <c r="H83" s="27" t="s">
        <v>360</v>
      </c>
    </row>
    <row r="84" spans="1:8" ht="12.75">
      <c r="A84" s="5" t="s">
        <v>72</v>
      </c>
      <c r="B84" s="5" t="s">
        <v>107</v>
      </c>
      <c r="C84" s="5" t="s">
        <v>171</v>
      </c>
      <c r="D84" s="5" t="s">
        <v>291</v>
      </c>
      <c r="E84" s="5" t="s">
        <v>340</v>
      </c>
      <c r="F84" s="5" t="s">
        <v>7</v>
      </c>
      <c r="G84" s="15">
        <v>1</v>
      </c>
      <c r="H84" s="27"/>
    </row>
    <row r="85" spans="1:8" ht="12.75">
      <c r="A85" s="5" t="s">
        <v>73</v>
      </c>
      <c r="B85" s="5" t="s">
        <v>107</v>
      </c>
      <c r="C85" s="5" t="s">
        <v>172</v>
      </c>
      <c r="D85" s="5" t="s">
        <v>293</v>
      </c>
      <c r="E85" s="5" t="s">
        <v>335</v>
      </c>
      <c r="F85" s="5" t="s">
        <v>405</v>
      </c>
      <c r="G85" s="15">
        <v>288</v>
      </c>
      <c r="H85" s="27" t="s">
        <v>360</v>
      </c>
    </row>
    <row r="86" spans="1:8" ht="12.75">
      <c r="A86" s="5" t="s">
        <v>74</v>
      </c>
      <c r="B86" s="5" t="s">
        <v>107</v>
      </c>
      <c r="C86" s="5" t="s">
        <v>174</v>
      </c>
      <c r="D86" s="5" t="s">
        <v>295</v>
      </c>
      <c r="E86" s="5" t="s">
        <v>341</v>
      </c>
      <c r="F86" s="5" t="s">
        <v>406</v>
      </c>
      <c r="G86" s="15">
        <v>219.62</v>
      </c>
      <c r="H86" s="27" t="s">
        <v>360</v>
      </c>
    </row>
    <row r="87" spans="1:8" ht="12.75">
      <c r="A87" s="5" t="s">
        <v>75</v>
      </c>
      <c r="B87" s="5" t="s">
        <v>107</v>
      </c>
      <c r="C87" s="5" t="s">
        <v>175</v>
      </c>
      <c r="D87" s="5" t="s">
        <v>296</v>
      </c>
      <c r="E87" s="5" t="s">
        <v>341</v>
      </c>
      <c r="F87" s="5" t="s">
        <v>407</v>
      </c>
      <c r="G87" s="15">
        <v>3.74</v>
      </c>
      <c r="H87" s="27" t="s">
        <v>360</v>
      </c>
    </row>
    <row r="88" spans="1:8" ht="12.75">
      <c r="A88" s="5" t="s">
        <v>76</v>
      </c>
      <c r="B88" s="5" t="s">
        <v>107</v>
      </c>
      <c r="C88" s="5" t="s">
        <v>176</v>
      </c>
      <c r="D88" s="5" t="s">
        <v>297</v>
      </c>
      <c r="E88" s="5" t="s">
        <v>341</v>
      </c>
      <c r="F88" s="5" t="s">
        <v>406</v>
      </c>
      <c r="G88" s="15">
        <v>219.62</v>
      </c>
      <c r="H88" s="27" t="s">
        <v>360</v>
      </c>
    </row>
    <row r="89" spans="1:8" ht="12.75">
      <c r="A89" s="5" t="s">
        <v>77</v>
      </c>
      <c r="B89" s="5" t="s">
        <v>107</v>
      </c>
      <c r="C89" s="5" t="s">
        <v>178</v>
      </c>
      <c r="D89" s="5" t="s">
        <v>299</v>
      </c>
      <c r="E89" s="5" t="s">
        <v>341</v>
      </c>
      <c r="F89" s="5" t="s">
        <v>408</v>
      </c>
      <c r="G89" s="15">
        <v>493.26</v>
      </c>
      <c r="H89" s="27" t="s">
        <v>360</v>
      </c>
    </row>
    <row r="90" spans="1:8" ht="12.75">
      <c r="A90" s="5" t="s">
        <v>78</v>
      </c>
      <c r="B90" s="5" t="s">
        <v>107</v>
      </c>
      <c r="C90" s="5" t="s">
        <v>179</v>
      </c>
      <c r="D90" s="5" t="s">
        <v>300</v>
      </c>
      <c r="E90" s="5" t="s">
        <v>341</v>
      </c>
      <c r="F90" s="5" t="s">
        <v>408</v>
      </c>
      <c r="G90" s="15">
        <v>493.26</v>
      </c>
      <c r="H90" s="27" t="s">
        <v>360</v>
      </c>
    </row>
    <row r="91" spans="1:8" ht="12.75">
      <c r="A91" s="5" t="s">
        <v>79</v>
      </c>
      <c r="B91" s="5" t="s">
        <v>107</v>
      </c>
      <c r="C91" s="5" t="s">
        <v>181</v>
      </c>
      <c r="D91" s="5" t="s">
        <v>302</v>
      </c>
      <c r="E91" s="5" t="s">
        <v>341</v>
      </c>
      <c r="F91" s="5" t="s">
        <v>409</v>
      </c>
      <c r="G91" s="15">
        <v>218.56</v>
      </c>
      <c r="H91" s="27" t="s">
        <v>360</v>
      </c>
    </row>
    <row r="92" spans="1:8" ht="12.75">
      <c r="A92" s="5" t="s">
        <v>80</v>
      </c>
      <c r="B92" s="5" t="s">
        <v>107</v>
      </c>
      <c r="C92" s="5" t="s">
        <v>182</v>
      </c>
      <c r="D92" s="5" t="s">
        <v>303</v>
      </c>
      <c r="E92" s="5" t="s">
        <v>341</v>
      </c>
      <c r="F92" s="5" t="s">
        <v>409</v>
      </c>
      <c r="G92" s="15">
        <v>218.56</v>
      </c>
      <c r="H92" s="27" t="s">
        <v>360</v>
      </c>
    </row>
    <row r="93" spans="1:8" ht="12.75">
      <c r="A93" s="5" t="s">
        <v>81</v>
      </c>
      <c r="B93" s="5" t="s">
        <v>107</v>
      </c>
      <c r="C93" s="5" t="s">
        <v>183</v>
      </c>
      <c r="D93" s="5" t="s">
        <v>304</v>
      </c>
      <c r="E93" s="5" t="s">
        <v>341</v>
      </c>
      <c r="F93" s="5" t="s">
        <v>409</v>
      </c>
      <c r="G93" s="15">
        <v>218.56</v>
      </c>
      <c r="H93" s="27" t="s">
        <v>360</v>
      </c>
    </row>
    <row r="94" spans="1:8" ht="12.75">
      <c r="A94" s="6" t="s">
        <v>82</v>
      </c>
      <c r="B94" s="6" t="s">
        <v>107</v>
      </c>
      <c r="C94" s="6" t="s">
        <v>184</v>
      </c>
      <c r="D94" s="6" t="s">
        <v>306</v>
      </c>
      <c r="E94" s="6" t="s">
        <v>338</v>
      </c>
      <c r="F94" s="6" t="s">
        <v>7</v>
      </c>
      <c r="G94" s="16">
        <v>1</v>
      </c>
      <c r="H94" s="28"/>
    </row>
    <row r="95" spans="1:8" ht="12.75">
      <c r="A95" s="6" t="s">
        <v>83</v>
      </c>
      <c r="B95" s="6" t="s">
        <v>107</v>
      </c>
      <c r="C95" s="6" t="s">
        <v>185</v>
      </c>
      <c r="D95" s="6" t="s">
        <v>307</v>
      </c>
      <c r="E95" s="6" t="s">
        <v>338</v>
      </c>
      <c r="F95" s="6" t="s">
        <v>10</v>
      </c>
      <c r="G95" s="16">
        <v>4</v>
      </c>
      <c r="H95" s="28"/>
    </row>
    <row r="96" spans="1:8" ht="12.75">
      <c r="A96" s="6" t="s">
        <v>84</v>
      </c>
      <c r="B96" s="6" t="s">
        <v>107</v>
      </c>
      <c r="C96" s="6" t="s">
        <v>186</v>
      </c>
      <c r="D96" s="6" t="s">
        <v>308</v>
      </c>
      <c r="E96" s="6" t="s">
        <v>338</v>
      </c>
      <c r="F96" s="6" t="s">
        <v>17</v>
      </c>
      <c r="G96" s="16">
        <v>11</v>
      </c>
      <c r="H96" s="28"/>
    </row>
    <row r="97" spans="1:8" ht="12.75">
      <c r="A97" s="6" t="s">
        <v>85</v>
      </c>
      <c r="B97" s="6" t="s">
        <v>107</v>
      </c>
      <c r="C97" s="6" t="s">
        <v>187</v>
      </c>
      <c r="D97" s="6" t="s">
        <v>309</v>
      </c>
      <c r="E97" s="6" t="s">
        <v>338</v>
      </c>
      <c r="F97" s="6" t="s">
        <v>8</v>
      </c>
      <c r="G97" s="16">
        <v>2</v>
      </c>
      <c r="H97" s="28"/>
    </row>
    <row r="98" spans="1:8" ht="12.75">
      <c r="A98" s="6" t="s">
        <v>86</v>
      </c>
      <c r="B98" s="6" t="s">
        <v>107</v>
      </c>
      <c r="C98" s="6" t="s">
        <v>188</v>
      </c>
      <c r="D98" s="6" t="s">
        <v>310</v>
      </c>
      <c r="E98" s="6" t="s">
        <v>338</v>
      </c>
      <c r="F98" s="6" t="s">
        <v>10</v>
      </c>
      <c r="G98" s="16">
        <v>4</v>
      </c>
      <c r="H98" s="28"/>
    </row>
    <row r="99" spans="1:8" ht="12.75">
      <c r="A99" s="6" t="s">
        <v>87</v>
      </c>
      <c r="B99" s="6" t="s">
        <v>107</v>
      </c>
      <c r="C99" s="6" t="s">
        <v>189</v>
      </c>
      <c r="D99" s="6" t="s">
        <v>311</v>
      </c>
      <c r="E99" s="6" t="s">
        <v>338</v>
      </c>
      <c r="F99" s="6" t="s">
        <v>11</v>
      </c>
      <c r="G99" s="16">
        <v>5</v>
      </c>
      <c r="H99" s="28"/>
    </row>
    <row r="100" spans="1:8" ht="12.75">
      <c r="A100" s="6" t="s">
        <v>88</v>
      </c>
      <c r="B100" s="6" t="s">
        <v>107</v>
      </c>
      <c r="C100" s="6" t="s">
        <v>190</v>
      </c>
      <c r="D100" s="6" t="s">
        <v>312</v>
      </c>
      <c r="E100" s="6" t="s">
        <v>338</v>
      </c>
      <c r="F100" s="6" t="s">
        <v>9</v>
      </c>
      <c r="G100" s="16">
        <v>3</v>
      </c>
      <c r="H100" s="28"/>
    </row>
    <row r="101" spans="1:8" ht="12.75">
      <c r="A101" s="6" t="s">
        <v>89</v>
      </c>
      <c r="B101" s="6" t="s">
        <v>107</v>
      </c>
      <c r="C101" s="6" t="s">
        <v>191</v>
      </c>
      <c r="D101" s="6" t="s">
        <v>313</v>
      </c>
      <c r="E101" s="6" t="s">
        <v>338</v>
      </c>
      <c r="F101" s="6" t="s">
        <v>8</v>
      </c>
      <c r="G101" s="16">
        <v>2</v>
      </c>
      <c r="H101" s="28"/>
    </row>
    <row r="102" spans="1:8" ht="12.75">
      <c r="A102" s="6" t="s">
        <v>90</v>
      </c>
      <c r="B102" s="6" t="s">
        <v>107</v>
      </c>
      <c r="C102" s="6" t="s">
        <v>192</v>
      </c>
      <c r="D102" s="6" t="s">
        <v>314</v>
      </c>
      <c r="E102" s="6" t="s">
        <v>338</v>
      </c>
      <c r="F102" s="6" t="s">
        <v>10</v>
      </c>
      <c r="G102" s="16">
        <v>4</v>
      </c>
      <c r="H102" s="28"/>
    </row>
    <row r="103" spans="1:8" ht="12.75">
      <c r="A103" s="6" t="s">
        <v>91</v>
      </c>
      <c r="B103" s="6" t="s">
        <v>107</v>
      </c>
      <c r="C103" s="6" t="s">
        <v>193</v>
      </c>
      <c r="D103" s="6" t="s">
        <v>315</v>
      </c>
      <c r="E103" s="6" t="s">
        <v>338</v>
      </c>
      <c r="F103" s="6" t="s">
        <v>7</v>
      </c>
      <c r="G103" s="16">
        <v>1</v>
      </c>
      <c r="H103" s="28"/>
    </row>
    <row r="104" spans="1:8" ht="12.75">
      <c r="A104" s="6" t="s">
        <v>92</v>
      </c>
      <c r="B104" s="6" t="s">
        <v>107</v>
      </c>
      <c r="C104" s="6" t="s">
        <v>194</v>
      </c>
      <c r="D104" s="6" t="s">
        <v>457</v>
      </c>
      <c r="E104" s="6" t="s">
        <v>338</v>
      </c>
      <c r="F104" s="6" t="s">
        <v>9</v>
      </c>
      <c r="G104" s="16">
        <v>3</v>
      </c>
      <c r="H104" s="28"/>
    </row>
    <row r="105" spans="1:8" ht="12.75">
      <c r="A105" s="6" t="s">
        <v>93</v>
      </c>
      <c r="B105" s="6" t="s">
        <v>107</v>
      </c>
      <c r="C105" s="6" t="s">
        <v>195</v>
      </c>
      <c r="D105" s="6" t="s">
        <v>458</v>
      </c>
      <c r="E105" s="6" t="s">
        <v>338</v>
      </c>
      <c r="F105" s="6" t="s">
        <v>8</v>
      </c>
      <c r="G105" s="16">
        <v>2</v>
      </c>
      <c r="H105" s="28"/>
    </row>
    <row r="106" spans="1:8" ht="12.75">
      <c r="A106" s="6" t="s">
        <v>94</v>
      </c>
      <c r="B106" s="6" t="s">
        <v>107</v>
      </c>
      <c r="C106" s="6" t="s">
        <v>196</v>
      </c>
      <c r="D106" s="6" t="s">
        <v>316</v>
      </c>
      <c r="E106" s="6" t="s">
        <v>338</v>
      </c>
      <c r="F106" s="6" t="s">
        <v>17</v>
      </c>
      <c r="G106" s="16">
        <v>11</v>
      </c>
      <c r="H106" s="28"/>
    </row>
    <row r="107" spans="1:8" ht="12.75">
      <c r="A107" s="6" t="s">
        <v>95</v>
      </c>
      <c r="B107" s="6" t="s">
        <v>107</v>
      </c>
      <c r="C107" s="6" t="s">
        <v>197</v>
      </c>
      <c r="D107" s="6" t="s">
        <v>317</v>
      </c>
      <c r="E107" s="6" t="s">
        <v>338</v>
      </c>
      <c r="F107" s="6" t="s">
        <v>8</v>
      </c>
      <c r="G107" s="16">
        <v>2</v>
      </c>
      <c r="H107" s="28"/>
    </row>
    <row r="108" spans="1:8" ht="12.75">
      <c r="A108" s="6" t="s">
        <v>96</v>
      </c>
      <c r="B108" s="6" t="s">
        <v>107</v>
      </c>
      <c r="C108" s="6" t="s">
        <v>198</v>
      </c>
      <c r="D108" s="6" t="s">
        <v>318</v>
      </c>
      <c r="E108" s="6" t="s">
        <v>338</v>
      </c>
      <c r="F108" s="6" t="s">
        <v>410</v>
      </c>
      <c r="G108" s="16">
        <v>28</v>
      </c>
      <c r="H108" s="28"/>
    </row>
    <row r="109" spans="1:8" ht="12.75">
      <c r="A109" s="6" t="s">
        <v>97</v>
      </c>
      <c r="B109" s="6" t="s">
        <v>107</v>
      </c>
      <c r="C109" s="6" t="s">
        <v>199</v>
      </c>
      <c r="D109" s="6" t="s">
        <v>319</v>
      </c>
      <c r="E109" s="6" t="s">
        <v>338</v>
      </c>
      <c r="F109" s="6" t="s">
        <v>411</v>
      </c>
      <c r="G109" s="16">
        <v>4</v>
      </c>
      <c r="H109" s="28"/>
    </row>
    <row r="110" spans="1:8" ht="12.75">
      <c r="A110" s="6" t="s">
        <v>98</v>
      </c>
      <c r="B110" s="6" t="s">
        <v>107</v>
      </c>
      <c r="C110" s="6" t="s">
        <v>200</v>
      </c>
      <c r="D110" s="6" t="s">
        <v>320</v>
      </c>
      <c r="E110" s="6" t="s">
        <v>338</v>
      </c>
      <c r="F110" s="6" t="s">
        <v>412</v>
      </c>
      <c r="G110" s="16">
        <v>49</v>
      </c>
      <c r="H110" s="28"/>
    </row>
    <row r="111" spans="1:8" ht="12.75">
      <c r="A111" s="6" t="s">
        <v>99</v>
      </c>
      <c r="B111" s="6" t="s">
        <v>107</v>
      </c>
      <c r="C111" s="6" t="s">
        <v>201</v>
      </c>
      <c r="D111" s="6" t="s">
        <v>321</v>
      </c>
      <c r="E111" s="6" t="s">
        <v>338</v>
      </c>
      <c r="F111" s="6" t="s">
        <v>24</v>
      </c>
      <c r="G111" s="16">
        <v>18</v>
      </c>
      <c r="H111" s="28"/>
    </row>
    <row r="112" spans="1:8" ht="12.75">
      <c r="A112" s="6" t="s">
        <v>100</v>
      </c>
      <c r="B112" s="6" t="s">
        <v>107</v>
      </c>
      <c r="C112" s="6" t="s">
        <v>202</v>
      </c>
      <c r="D112" s="6" t="s">
        <v>322</v>
      </c>
      <c r="E112" s="6" t="s">
        <v>338</v>
      </c>
      <c r="F112" s="6" t="s">
        <v>8</v>
      </c>
      <c r="G112" s="16">
        <v>2</v>
      </c>
      <c r="H112" s="28"/>
    </row>
    <row r="113" spans="1:8" ht="12.75">
      <c r="A113" s="6" t="s">
        <v>101</v>
      </c>
      <c r="B113" s="6" t="s">
        <v>107</v>
      </c>
      <c r="C113" s="6" t="s">
        <v>203</v>
      </c>
      <c r="D113" s="6" t="s">
        <v>323</v>
      </c>
      <c r="E113" s="6" t="s">
        <v>338</v>
      </c>
      <c r="F113" s="6" t="s">
        <v>13</v>
      </c>
      <c r="G113" s="16">
        <v>7</v>
      </c>
      <c r="H113" s="28"/>
    </row>
    <row r="114" spans="1:8" ht="12.75">
      <c r="A114" s="6" t="s">
        <v>102</v>
      </c>
      <c r="B114" s="6" t="s">
        <v>107</v>
      </c>
      <c r="C114" s="6" t="s">
        <v>204</v>
      </c>
      <c r="D114" s="6" t="s">
        <v>324</v>
      </c>
      <c r="E114" s="6" t="s">
        <v>338</v>
      </c>
      <c r="F114" s="6" t="s">
        <v>18</v>
      </c>
      <c r="G114" s="16">
        <v>12</v>
      </c>
      <c r="H114" s="28"/>
    </row>
    <row r="115" spans="1:8" ht="12.75">
      <c r="A115" s="6" t="s">
        <v>103</v>
      </c>
      <c r="B115" s="6" t="s">
        <v>107</v>
      </c>
      <c r="C115" s="6" t="s">
        <v>205</v>
      </c>
      <c r="D115" s="6" t="s">
        <v>325</v>
      </c>
      <c r="E115" s="6" t="s">
        <v>338</v>
      </c>
      <c r="F115" s="6" t="s">
        <v>18</v>
      </c>
      <c r="G115" s="16">
        <v>12</v>
      </c>
      <c r="H115" s="28"/>
    </row>
    <row r="116" spans="1:8" ht="12.75">
      <c r="A116" s="6" t="s">
        <v>104</v>
      </c>
      <c r="B116" s="6" t="s">
        <v>107</v>
      </c>
      <c r="C116" s="6" t="s">
        <v>206</v>
      </c>
      <c r="D116" s="6" t="s">
        <v>326</v>
      </c>
      <c r="E116" s="6" t="s">
        <v>338</v>
      </c>
      <c r="F116" s="6" t="s">
        <v>18</v>
      </c>
      <c r="G116" s="16">
        <v>12</v>
      </c>
      <c r="H116" s="28"/>
    </row>
    <row r="117" spans="1:8" ht="12.75">
      <c r="A117" s="6" t="s">
        <v>105</v>
      </c>
      <c r="B117" s="6" t="s">
        <v>107</v>
      </c>
      <c r="C117" s="6" t="s">
        <v>207</v>
      </c>
      <c r="D117" s="6" t="s">
        <v>327</v>
      </c>
      <c r="E117" s="6" t="s">
        <v>341</v>
      </c>
      <c r="F117" s="6" t="s">
        <v>413</v>
      </c>
      <c r="G117" s="16">
        <v>194.33</v>
      </c>
      <c r="H117" s="28"/>
    </row>
  </sheetData>
  <sheetProtection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 gridLines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9" t="s">
        <v>418</v>
      </c>
      <c r="B1" s="110"/>
      <c r="C1" s="110"/>
      <c r="D1" s="110"/>
      <c r="E1" s="110"/>
      <c r="F1" s="110"/>
      <c r="G1" s="110"/>
      <c r="H1" s="110"/>
      <c r="I1" s="110"/>
    </row>
    <row r="2" spans="1:10" ht="12.75">
      <c r="A2" s="78" t="s">
        <v>1</v>
      </c>
      <c r="B2" s="79"/>
      <c r="C2" s="80" t="s">
        <v>208</v>
      </c>
      <c r="D2" s="60"/>
      <c r="E2" s="83" t="s">
        <v>348</v>
      </c>
      <c r="F2" s="83" t="s">
        <v>353</v>
      </c>
      <c r="G2" s="79"/>
      <c r="H2" s="83" t="s">
        <v>453</v>
      </c>
      <c r="I2" s="111"/>
      <c r="J2" s="30"/>
    </row>
    <row r="3" spans="1:10" ht="12.75">
      <c r="A3" s="75"/>
      <c r="B3" s="67"/>
      <c r="C3" s="81"/>
      <c r="D3" s="81"/>
      <c r="E3" s="67"/>
      <c r="F3" s="67"/>
      <c r="G3" s="67"/>
      <c r="H3" s="67"/>
      <c r="I3" s="73"/>
      <c r="J3" s="30"/>
    </row>
    <row r="4" spans="1:10" ht="12.75">
      <c r="A4" s="66" t="s">
        <v>2</v>
      </c>
      <c r="B4" s="67"/>
      <c r="C4" s="70" t="s">
        <v>209</v>
      </c>
      <c r="D4" s="67"/>
      <c r="E4" s="70" t="s">
        <v>349</v>
      </c>
      <c r="F4" s="70" t="s">
        <v>354</v>
      </c>
      <c r="G4" s="67"/>
      <c r="H4" s="70" t="s">
        <v>453</v>
      </c>
      <c r="I4" s="108"/>
      <c r="J4" s="30"/>
    </row>
    <row r="5" spans="1:10" ht="12.75">
      <c r="A5" s="75"/>
      <c r="B5" s="67"/>
      <c r="C5" s="67"/>
      <c r="D5" s="67"/>
      <c r="E5" s="67"/>
      <c r="F5" s="67"/>
      <c r="G5" s="67"/>
      <c r="H5" s="67"/>
      <c r="I5" s="73"/>
      <c r="J5" s="30"/>
    </row>
    <row r="6" spans="1:10" ht="12.75">
      <c r="A6" s="66" t="s">
        <v>3</v>
      </c>
      <c r="B6" s="67"/>
      <c r="C6" s="70" t="s">
        <v>210</v>
      </c>
      <c r="D6" s="67"/>
      <c r="E6" s="70" t="s">
        <v>350</v>
      </c>
      <c r="F6" s="70"/>
      <c r="G6" s="67"/>
      <c r="H6" s="70" t="s">
        <v>453</v>
      </c>
      <c r="I6" s="108"/>
      <c r="J6" s="30"/>
    </row>
    <row r="7" spans="1:10" ht="12.75">
      <c r="A7" s="75"/>
      <c r="B7" s="67"/>
      <c r="C7" s="67"/>
      <c r="D7" s="67"/>
      <c r="E7" s="67"/>
      <c r="F7" s="67"/>
      <c r="G7" s="67"/>
      <c r="H7" s="67"/>
      <c r="I7" s="73"/>
      <c r="J7" s="30"/>
    </row>
    <row r="8" spans="1:10" ht="12.75">
      <c r="A8" s="66" t="s">
        <v>329</v>
      </c>
      <c r="B8" s="67"/>
      <c r="C8" s="71" t="s">
        <v>6</v>
      </c>
      <c r="D8" s="67"/>
      <c r="E8" s="70" t="s">
        <v>330</v>
      </c>
      <c r="F8" s="67"/>
      <c r="G8" s="67"/>
      <c r="H8" s="71" t="s">
        <v>454</v>
      </c>
      <c r="I8" s="108" t="s">
        <v>105</v>
      </c>
      <c r="J8" s="30"/>
    </row>
    <row r="9" spans="1:10" ht="12.75">
      <c r="A9" s="75"/>
      <c r="B9" s="67"/>
      <c r="C9" s="67"/>
      <c r="D9" s="67"/>
      <c r="E9" s="67"/>
      <c r="F9" s="67"/>
      <c r="G9" s="67"/>
      <c r="H9" s="67"/>
      <c r="I9" s="73"/>
      <c r="J9" s="30"/>
    </row>
    <row r="10" spans="1:10" ht="12.75">
      <c r="A10" s="66" t="s">
        <v>4</v>
      </c>
      <c r="B10" s="67"/>
      <c r="C10" s="70"/>
      <c r="D10" s="67"/>
      <c r="E10" s="70" t="s">
        <v>351</v>
      </c>
      <c r="F10" s="70" t="s">
        <v>355</v>
      </c>
      <c r="G10" s="67"/>
      <c r="H10" s="71" t="s">
        <v>455</v>
      </c>
      <c r="I10" s="106">
        <v>41737</v>
      </c>
      <c r="J10" s="30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30"/>
    </row>
    <row r="12" spans="1:9" ht="23.25" customHeight="1">
      <c r="A12" s="100" t="s">
        <v>419</v>
      </c>
      <c r="B12" s="101"/>
      <c r="C12" s="101"/>
      <c r="D12" s="101"/>
      <c r="E12" s="101"/>
      <c r="F12" s="101"/>
      <c r="G12" s="101"/>
      <c r="H12" s="101"/>
      <c r="I12" s="101"/>
    </row>
    <row r="13" spans="1:10" ht="26.25" customHeight="1">
      <c r="A13" s="46" t="s">
        <v>420</v>
      </c>
      <c r="B13" s="102" t="s">
        <v>431</v>
      </c>
      <c r="C13" s="103"/>
      <c r="D13" s="46" t="s">
        <v>433</v>
      </c>
      <c r="E13" s="102" t="s">
        <v>441</v>
      </c>
      <c r="F13" s="103"/>
      <c r="G13" s="46" t="s">
        <v>442</v>
      </c>
      <c r="H13" s="102" t="s">
        <v>456</v>
      </c>
      <c r="I13" s="103"/>
      <c r="J13" s="30"/>
    </row>
    <row r="14" spans="1:10" ht="15" customHeight="1">
      <c r="A14" s="47" t="s">
        <v>421</v>
      </c>
      <c r="B14" s="52" t="s">
        <v>432</v>
      </c>
      <c r="C14" s="54">
        <f>SUM('Stavební rozpočet'!R12:R131)</f>
        <v>0</v>
      </c>
      <c r="D14" s="98" t="s">
        <v>434</v>
      </c>
      <c r="E14" s="99"/>
      <c r="F14" s="54">
        <v>0</v>
      </c>
      <c r="G14" s="98" t="s">
        <v>443</v>
      </c>
      <c r="H14" s="99"/>
      <c r="I14" s="54">
        <f>ROUND(C22*(4/100),2)</f>
        <v>0</v>
      </c>
      <c r="J14" s="30"/>
    </row>
    <row r="15" spans="1:10" ht="15" customHeight="1">
      <c r="A15" s="48"/>
      <c r="B15" s="52" t="s">
        <v>352</v>
      </c>
      <c r="C15" s="54">
        <f>SUM('Stavební rozpočet'!S12:S131)</f>
        <v>0</v>
      </c>
      <c r="D15" s="98" t="s">
        <v>435</v>
      </c>
      <c r="E15" s="99"/>
      <c r="F15" s="54">
        <v>0</v>
      </c>
      <c r="G15" s="98" t="s">
        <v>444</v>
      </c>
      <c r="H15" s="99"/>
      <c r="I15" s="54">
        <v>0</v>
      </c>
      <c r="J15" s="30"/>
    </row>
    <row r="16" spans="1:10" ht="15" customHeight="1">
      <c r="A16" s="47" t="s">
        <v>422</v>
      </c>
      <c r="B16" s="52" t="s">
        <v>432</v>
      </c>
      <c r="C16" s="54">
        <f>SUM('Stavební rozpočet'!T12:T131)</f>
        <v>0</v>
      </c>
      <c r="D16" s="98" t="s">
        <v>436</v>
      </c>
      <c r="E16" s="99"/>
      <c r="F16" s="54">
        <v>0</v>
      </c>
      <c r="G16" s="98" t="s">
        <v>445</v>
      </c>
      <c r="H16" s="99"/>
      <c r="I16" s="54">
        <v>0</v>
      </c>
      <c r="J16" s="30"/>
    </row>
    <row r="17" spans="1:10" ht="15" customHeight="1">
      <c r="A17" s="48"/>
      <c r="B17" s="52" t="s">
        <v>352</v>
      </c>
      <c r="C17" s="54">
        <f>SUM('Stavební rozpočet'!U12:U131)</f>
        <v>0</v>
      </c>
      <c r="D17" s="98"/>
      <c r="E17" s="99"/>
      <c r="F17" s="55"/>
      <c r="G17" s="98" t="s">
        <v>446</v>
      </c>
      <c r="H17" s="99"/>
      <c r="I17" s="54">
        <v>0</v>
      </c>
      <c r="J17" s="30"/>
    </row>
    <row r="18" spans="1:10" ht="15" customHeight="1">
      <c r="A18" s="47" t="s">
        <v>423</v>
      </c>
      <c r="B18" s="52" t="s">
        <v>432</v>
      </c>
      <c r="C18" s="54">
        <f>SUM('Stavební rozpočet'!V12:V131)</f>
        <v>0</v>
      </c>
      <c r="D18" s="98"/>
      <c r="E18" s="99"/>
      <c r="F18" s="55"/>
      <c r="G18" s="98" t="s">
        <v>447</v>
      </c>
      <c r="H18" s="99"/>
      <c r="I18" s="54">
        <v>0</v>
      </c>
      <c r="J18" s="30"/>
    </row>
    <row r="19" spans="1:10" ht="15" customHeight="1">
      <c r="A19" s="48"/>
      <c r="B19" s="52" t="s">
        <v>352</v>
      </c>
      <c r="C19" s="54">
        <f>SUM('Stavební rozpočet'!W12:W131)</f>
        <v>0</v>
      </c>
      <c r="D19" s="98"/>
      <c r="E19" s="99"/>
      <c r="F19" s="55"/>
      <c r="G19" s="98" t="s">
        <v>448</v>
      </c>
      <c r="H19" s="99"/>
      <c r="I19" s="54">
        <v>0</v>
      </c>
      <c r="J19" s="30"/>
    </row>
    <row r="20" spans="1:10" ht="15" customHeight="1">
      <c r="A20" s="96" t="s">
        <v>305</v>
      </c>
      <c r="B20" s="97"/>
      <c r="C20" s="54">
        <f>SUM('Stavební rozpočet'!X12:X131)</f>
        <v>0</v>
      </c>
      <c r="D20" s="98"/>
      <c r="E20" s="99"/>
      <c r="F20" s="55"/>
      <c r="G20" s="98"/>
      <c r="H20" s="99"/>
      <c r="I20" s="55"/>
      <c r="J20" s="30"/>
    </row>
    <row r="21" spans="1:10" ht="15" customHeight="1">
      <c r="A21" s="96" t="s">
        <v>424</v>
      </c>
      <c r="B21" s="97"/>
      <c r="C21" s="54">
        <f>SUM('Stavební rozpočet'!P12:P131)</f>
        <v>0</v>
      </c>
      <c r="D21" s="98"/>
      <c r="E21" s="99"/>
      <c r="F21" s="55"/>
      <c r="G21" s="98"/>
      <c r="H21" s="99"/>
      <c r="I21" s="55"/>
      <c r="J21" s="30"/>
    </row>
    <row r="22" spans="1:10" ht="16.5" customHeight="1">
      <c r="A22" s="96" t="s">
        <v>425</v>
      </c>
      <c r="B22" s="97"/>
      <c r="C22" s="54">
        <f>SUM(C14:C21)</f>
        <v>0</v>
      </c>
      <c r="D22" s="96" t="s">
        <v>437</v>
      </c>
      <c r="E22" s="97"/>
      <c r="F22" s="54">
        <f>SUM(F14:F21)</f>
        <v>0</v>
      </c>
      <c r="G22" s="96" t="s">
        <v>449</v>
      </c>
      <c r="H22" s="97"/>
      <c r="I22" s="54">
        <f>SUM(I14:I21)</f>
        <v>0</v>
      </c>
      <c r="J22" s="30"/>
    </row>
    <row r="23" spans="1:9" ht="12.75">
      <c r="A23" s="49"/>
      <c r="B23" s="49"/>
      <c r="C23" s="49"/>
      <c r="D23" s="8"/>
      <c r="E23" s="8"/>
      <c r="F23" s="8"/>
      <c r="G23" s="8"/>
      <c r="H23" s="8"/>
      <c r="I23" s="8"/>
    </row>
    <row r="24" spans="1:9" ht="15" customHeight="1">
      <c r="A24" s="94" t="s">
        <v>426</v>
      </c>
      <c r="B24" s="95"/>
      <c r="C24" s="56">
        <f>SUM('Stavební rozpočet'!Z12:Z131)</f>
        <v>0</v>
      </c>
      <c r="D24" s="53"/>
      <c r="E24" s="40"/>
      <c r="F24" s="40"/>
      <c r="G24" s="40"/>
      <c r="H24" s="40"/>
      <c r="I24" s="40"/>
    </row>
    <row r="25" spans="1:10" ht="15" customHeight="1">
      <c r="A25" s="94" t="s">
        <v>427</v>
      </c>
      <c r="B25" s="95"/>
      <c r="C25" s="56">
        <f>SUM('Stavební rozpočet'!AA12:AA131)</f>
        <v>0</v>
      </c>
      <c r="D25" s="94" t="s">
        <v>438</v>
      </c>
      <c r="E25" s="95"/>
      <c r="F25" s="56">
        <f>ROUND(C25*(15/100),2)</f>
        <v>0</v>
      </c>
      <c r="G25" s="94" t="s">
        <v>450</v>
      </c>
      <c r="H25" s="95"/>
      <c r="I25" s="56">
        <f>SUM(C24:C26)</f>
        <v>0</v>
      </c>
      <c r="J25" s="30"/>
    </row>
    <row r="26" spans="1:10" ht="15" customHeight="1">
      <c r="A26" s="94" t="s">
        <v>428</v>
      </c>
      <c r="B26" s="95"/>
      <c r="C26" s="56">
        <f>SUM('Stavební rozpočet'!AB12:AB131)+(F22+I22)</f>
        <v>0</v>
      </c>
      <c r="D26" s="94" t="s">
        <v>439</v>
      </c>
      <c r="E26" s="95"/>
      <c r="F26" s="56">
        <f>ROUND(C26*(21/100),2)</f>
        <v>0</v>
      </c>
      <c r="G26" s="94" t="s">
        <v>451</v>
      </c>
      <c r="H26" s="95"/>
      <c r="I26" s="56">
        <f>SUM(F25:F26)+I25</f>
        <v>0</v>
      </c>
      <c r="J26" s="30"/>
    </row>
    <row r="27" spans="1:9" ht="12.75">
      <c r="A27" s="50"/>
      <c r="B27" s="50"/>
      <c r="C27" s="50"/>
      <c r="D27" s="50"/>
      <c r="E27" s="50"/>
      <c r="F27" s="50"/>
      <c r="G27" s="50"/>
      <c r="H27" s="50"/>
      <c r="I27" s="50"/>
    </row>
    <row r="28" spans="1:10" ht="14.25" customHeight="1">
      <c r="A28" s="91" t="s">
        <v>429</v>
      </c>
      <c r="B28" s="92"/>
      <c r="C28" s="93"/>
      <c r="D28" s="91" t="s">
        <v>440</v>
      </c>
      <c r="E28" s="92"/>
      <c r="F28" s="93"/>
      <c r="G28" s="91" t="s">
        <v>452</v>
      </c>
      <c r="H28" s="92"/>
      <c r="I28" s="93"/>
      <c r="J28" s="31"/>
    </row>
    <row r="29" spans="1:10" ht="14.25" customHeight="1">
      <c r="A29" s="88"/>
      <c r="B29" s="89"/>
      <c r="C29" s="90"/>
      <c r="D29" s="88"/>
      <c r="E29" s="89"/>
      <c r="F29" s="90"/>
      <c r="G29" s="88"/>
      <c r="H29" s="89"/>
      <c r="I29" s="90"/>
      <c r="J29" s="31"/>
    </row>
    <row r="30" spans="1:10" ht="14.25" customHeight="1">
      <c r="A30" s="88"/>
      <c r="B30" s="89"/>
      <c r="C30" s="90"/>
      <c r="D30" s="88"/>
      <c r="E30" s="89"/>
      <c r="F30" s="90"/>
      <c r="G30" s="88"/>
      <c r="H30" s="89"/>
      <c r="I30" s="90"/>
      <c r="J30" s="31"/>
    </row>
    <row r="31" spans="1:10" ht="14.25" customHeight="1">
      <c r="A31" s="88"/>
      <c r="B31" s="89"/>
      <c r="C31" s="90"/>
      <c r="D31" s="88"/>
      <c r="E31" s="89"/>
      <c r="F31" s="90"/>
      <c r="G31" s="88"/>
      <c r="H31" s="89"/>
      <c r="I31" s="90"/>
      <c r="J31" s="31"/>
    </row>
    <row r="32" spans="1:10" ht="14.25" customHeight="1">
      <c r="A32" s="85" t="s">
        <v>430</v>
      </c>
      <c r="B32" s="86"/>
      <c r="C32" s="87"/>
      <c r="D32" s="85" t="s">
        <v>430</v>
      </c>
      <c r="E32" s="86"/>
      <c r="F32" s="87"/>
      <c r="G32" s="85" t="s">
        <v>430</v>
      </c>
      <c r="H32" s="86"/>
      <c r="I32" s="87"/>
      <c r="J32" s="3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Nešpor</dc:creator>
  <cp:keywords/>
  <dc:description/>
  <cp:lastModifiedBy>uzivatel</cp:lastModifiedBy>
  <cp:lastPrinted>2014-04-25T07:15:56Z</cp:lastPrinted>
  <dcterms:created xsi:type="dcterms:W3CDTF">2014-04-25T07:16:56Z</dcterms:created>
  <dcterms:modified xsi:type="dcterms:W3CDTF">2014-04-25T07:48:53Z</dcterms:modified>
  <cp:category/>
  <cp:version/>
  <cp:contentType/>
  <cp:contentStatus/>
</cp:coreProperties>
</file>