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308 - Stavební úpravy MŠ..." sheetId="2" r:id="rId2"/>
  </sheets>
  <definedNames>
    <definedName name="_xlnm.Print_Titles" localSheetId="1">'1308 - Stavební úpravy MŠ...'!$138:$138</definedName>
    <definedName name="_xlnm.Print_Titles" localSheetId="0">'Rekapitulace stavby'!$85:$85</definedName>
    <definedName name="_xlnm.Print_Area" localSheetId="1">'1308 - Stavební úpravy MŠ...'!$C$4:$Q$70,'1308 - Stavební úpravy MŠ...'!$C$76:$Q$123,'1308 - Stavební úpravy MŠ...'!$C$129:$Q$416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<sst xmlns="http://schemas.openxmlformats.org/spreadsheetml/2006/main" count="3007" uniqueCount="719">
  <si>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</si>
  <si>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</si>
  <si>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</si>
  <si>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</si>
  <si>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</si>
  <si>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</si>
  <si>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</si>
  <si>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</si>
  <si>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</si>
  <si>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</si>
  <si>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</si>
  <si>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</si>
  <si>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</si>
  <si>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</si>
  <si>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</si>
  <si>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1308 - Stavební úpravy MŠ Kmochova - přístavba objektu</t>
  </si>
  <si>
    <t>0,1</t>
  </si>
  <si>
    <t>1</t>
  </si>
  <si>
    <t>Místo:</t>
  </si>
  <si>
    <t>Kolín</t>
  </si>
  <si>
    <t>Datum:</t>
  </si>
  <si>
    <t>29.04.2013</t>
  </si>
  <si>
    <t>10</t>
  </si>
  <si>
    <t>100</t>
  </si>
  <si>
    <t>Objednavatel:</t>
  </si>
  <si>
    <t>IČ:</t>
  </si>
  <si>
    <t>Město Kolín, Karlovo nám. 78, 280 02 Kolín 1</t>
  </si>
  <si>
    <t>DIČ:</t>
  </si>
  <si>
    <t>Zhotovitel:</t>
  </si>
  <si>
    <t>Vyplň údaj</t>
  </si>
  <si>
    <t>Projektant:</t>
  </si>
  <si>
    <t>10251120</t>
  </si>
  <si>
    <t>Ing. Karel Vrátný, Rubešova 60, 280 02 Kolín 1</t>
  </si>
  <si>
    <t>CZ531005056</t>
  </si>
  <si>
    <t>True</t>
  </si>
  <si>
    <t>Zpracovatel:</t>
  </si>
  <si>
    <t>Alena Vrátná, Kolín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</si>
  <si>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</si>
  <si>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</si>
  <si>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</si>
  <si>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</si>
  <si>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</si>
  <si>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</si>
  <si>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</si>
  <si>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</si>
  <si>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</si>
  <si>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</si>
  <si>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</si>
  <si>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</si>
  <si>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</si>
  <si>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</si>
  <si>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</si>
  <si>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</si>
  <si>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</si>
  <si>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</si>
  <si>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</si>
  <si>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</si>
  <si>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</si>
  <si>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</si>
  <si>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</si>
  <si>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</si>
  <si>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</si>
  <si>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</si>
  <si>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</si>
  <si>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</si>
  <si>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</si>
  <si>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</si>
  <si>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</si>
  <si>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</si>
  <si>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</si>
  <si>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</si>
  <si>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</si>
  <si>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</si>
  <si>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</si>
  <si>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</si>
  <si>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</si>
  <si>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</si>
  <si>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</si>
  <si>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{CE419382-F525-4290-AC5F-97E30907BC7C}</t>
  </si>
  <si>
    <t>{00000000-0000-0000-0000-000000000000}</t>
  </si>
  <si>
    <t>1308</t>
  </si>
  <si>
    <t>Stavební úpravy MŠ Kmochova - přístavba objektu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</si>
  <si>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</si>
  <si>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</si>
  <si>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</si>
  <si>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</si>
  <si>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</si>
  <si>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</si>
  <si>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</si>
  <si>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</si>
  <si>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</si>
  <si>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</si>
  <si>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</si>
  <si>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</si>
  <si>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</si>
  <si>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</si>
  <si>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</si>
  <si>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</si>
  <si>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</si>
  <si>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</si>
  <si>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</si>
  <si>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</si>
  <si>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</si>
  <si>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</si>
  <si>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</si>
  <si>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</si>
  <si>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</si>
  <si>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</si>
  <si>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</si>
  <si>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</si>
  <si>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</si>
  <si>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</si>
  <si>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</si>
  <si>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</si>
  <si>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</si>
  <si>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</si>
  <si>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</si>
  <si>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</si>
  <si>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</si>
  <si>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</si>
  <si>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</si>
  <si>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</si>
  <si>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</si>
  <si>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731 - Ústřední vytápění </t>
  </si>
  <si>
    <t xml:space="preserve">    741 - Elektromontáže </t>
  </si>
  <si>
    <t xml:space="preserve">    743 - Uzemnění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</si>
  <si>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</si>
  <si>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</si>
  <si>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</si>
  <si>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</si>
  <si>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</si>
  <si>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</si>
  <si>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</si>
  <si>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</si>
  <si>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</si>
  <si>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</si>
  <si>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</si>
  <si>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</si>
  <si>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</si>
  <si>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</si>
  <si>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</si>
  <si>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</si>
  <si>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</si>
  <si>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</si>
  <si>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</si>
  <si>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</si>
  <si>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</si>
  <si>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</si>
  <si>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</si>
  <si>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</si>
  <si>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</si>
  <si>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</si>
  <si>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</si>
  <si>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</si>
  <si>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</si>
  <si>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</si>
  <si>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</si>
  <si>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</si>
  <si>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</si>
  <si>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</si>
  <si>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</si>
  <si>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</si>
  <si>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113106171</t>
  </si>
  <si>
    <t>Rozebrání dlažeb  pl do 50 m2 ze zámkové dlažby do lože z kameniva</t>
  </si>
  <si>
    <t>m2</t>
  </si>
  <si>
    <t>4</t>
  </si>
  <si>
    <t>7,1*0,5+2*1,2+2,3*2,1+2*0,5+2*0,9</t>
  </si>
  <si>
    <t>VV</t>
  </si>
  <si>
    <t>113107011</t>
  </si>
  <si>
    <t xml:space="preserve">Odstranění podkladu plochy do 15 m2 z kameniva těženého tl 100 mm </t>
  </si>
  <si>
    <t>3</t>
  </si>
  <si>
    <t>113204111</t>
  </si>
  <si>
    <t>Vytrhání obrub záhonových</t>
  </si>
  <si>
    <t>m</t>
  </si>
  <si>
    <t>121101101</t>
  </si>
  <si>
    <t>Sejmutí ornice s přemístěním na vzdálenost do 50 m</t>
  </si>
  <si>
    <t>m3</t>
  </si>
  <si>
    <t>2*0,9*0,2</t>
  </si>
  <si>
    <t>5</t>
  </si>
  <si>
    <t>122201101</t>
  </si>
  <si>
    <t>Odkopávky a prokopávky nezapažené v hornině tř. 3 objem do 100 m3</t>
  </si>
  <si>
    <t>7,5*1,5*2,7+(1,2*2,2+2,2*0,15)*0,1</t>
  </si>
  <si>
    <t>6</t>
  </si>
  <si>
    <t>122201109</t>
  </si>
  <si>
    <t>Příplatek za lepivost u odkopávek v hornině tř. 1 až 3</t>
  </si>
  <si>
    <t>30,672/2</t>
  </si>
  <si>
    <t>7</t>
  </si>
  <si>
    <t>132201101</t>
  </si>
  <si>
    <t>Hloubení rýh š do 600 mm v hornině tř. 3 objemu do 100 m3</t>
  </si>
  <si>
    <t>0,6*0,7*(3+2,75)+0,6*0,4*(2,75+6,4+0,5)+0,4*0,6*(0,9*2+2,2*1,2)</t>
  </si>
  <si>
    <t>0,3*0,9*1</t>
  </si>
  <si>
    <t>Součet</t>
  </si>
  <si>
    <t>8</t>
  </si>
  <si>
    <t>132201109</t>
  </si>
  <si>
    <t>Příplatek za lepivost k hloubení rýh š do 600 mm v hornině tř. 3</t>
  </si>
  <si>
    <t>6,067/2</t>
  </si>
  <si>
    <t>9</t>
  </si>
  <si>
    <t>162701105</t>
  </si>
  <si>
    <t>Vodorovné přemístění do 10000 m výkopku/sypaniny z horniny tř. 1 až 4</t>
  </si>
  <si>
    <t>0,360+30,672+6,034</t>
  </si>
  <si>
    <t>167101101</t>
  </si>
  <si>
    <t>Nakládání výkopku z hornin tř. 1 až 4 do 100 m3</t>
  </si>
  <si>
    <t>11</t>
  </si>
  <si>
    <t>171201201</t>
  </si>
  <si>
    <t>Uložení sypaniny na skládky</t>
  </si>
  <si>
    <t>12</t>
  </si>
  <si>
    <t>171201211</t>
  </si>
  <si>
    <t>Poplatek za uložení odpadu ze sypaniny na skládce (skládkovné)</t>
  </si>
  <si>
    <t>t</t>
  </si>
  <si>
    <t>37,066*1,9</t>
  </si>
  <si>
    <t>13</t>
  </si>
  <si>
    <t>184512R01</t>
  </si>
  <si>
    <t>Přesazení tůje</t>
  </si>
  <si>
    <t>kus</t>
  </si>
  <si>
    <t>14</t>
  </si>
  <si>
    <t>271572211</t>
  </si>
  <si>
    <t>Násyp pod základové konstrukce se zhutněním z netříděného štěrkopísku</t>
  </si>
  <si>
    <t>0,1*(2,75*5,8+0,4)+0,9*1,4*0,45+(0,9+0,35)*0,4*1,4+1,5*0,9*0,2</t>
  </si>
  <si>
    <t>272362021</t>
  </si>
  <si>
    <t>Výztuž základových kleneb svařovanými sítěmi Kari</t>
  </si>
  <si>
    <t>(7*3,35+0,4)*4,4/1000</t>
  </si>
  <si>
    <t>16</t>
  </si>
  <si>
    <t>273321311</t>
  </si>
  <si>
    <t>Základové desky ze ŽB tř. C 16/20</t>
  </si>
  <si>
    <t>0,12*(7*3,35+0,4)</t>
  </si>
  <si>
    <t>17</t>
  </si>
  <si>
    <t>273351215</t>
  </si>
  <si>
    <t>Zřízení bednění stěn základových desek</t>
  </si>
  <si>
    <t>0,22*(3,35*2+7+0,4)</t>
  </si>
  <si>
    <t>18</t>
  </si>
  <si>
    <t>273351216</t>
  </si>
  <si>
    <t>Odstranění bednění stěn základových desek</t>
  </si>
  <si>
    <t>19</t>
  </si>
  <si>
    <t>274313611</t>
  </si>
  <si>
    <t>Základové pásy z betonu tř. C 16/20</t>
  </si>
  <si>
    <t>0,6*0,7*3*+0,6*0,7*3,35+0,6*0,3*(3,35+5,8+0,4)</t>
  </si>
  <si>
    <t>0,4*0,9*(0,9*2+2,2*1,2)+0,3*0,9*0,1</t>
  </si>
  <si>
    <t>20</t>
  </si>
  <si>
    <t>274351215</t>
  </si>
  <si>
    <t>Zřízení bednění stěn základových pasů</t>
  </si>
  <si>
    <t>0,2*(2,75*2+5,8+0,4)+0,25*(0,9*2+1,6+1,2*2+2,2*1,2)</t>
  </si>
  <si>
    <t>274351216</t>
  </si>
  <si>
    <t>Odstranění bednění stěn základových pasů</t>
  </si>
  <si>
    <t>22</t>
  </si>
  <si>
    <t>311211215</t>
  </si>
  <si>
    <t>Zdivo nadzákladové soklové z lomového kamene opracovaného na MC 15</t>
  </si>
  <si>
    <t>0,6*3*1"opěrná zeď</t>
  </si>
  <si>
    <t>0,4*0,35*1+0,4*0,18*(0,4+0,3+0,15)"boky schodiště</t>
  </si>
  <si>
    <t>0,3*(3,2*1+2,3*1+2,4*1,2+2,4*1,6+3,2*2,16-0,9*1,95)"přístavba</t>
  </si>
  <si>
    <t>0,3*0,9*0,9"opěr. zídka u schodů do suterénu</t>
  </si>
  <si>
    <t>23</t>
  </si>
  <si>
    <t>311238144</t>
  </si>
  <si>
    <t>Zdivo nosné z cihel broušených POROTHERM tl 300 mm pevnosti P10 lepených tenkovrstvou maltou</t>
  </si>
  <si>
    <t>3,2*1,16+2*1,16+2,4*0,56"1.PP</t>
  </si>
  <si>
    <t>(3,2*2+6,1)*2,65-(1,2*1,5+0,9*1,5*2+0,9*0,5+1,4*2,1)</t>
  </si>
  <si>
    <t>24</t>
  </si>
  <si>
    <t>317168131</t>
  </si>
  <si>
    <t>Překlad keramický vysoký v 23,8 cm dl 125 cm</t>
  </si>
  <si>
    <t>25</t>
  </si>
  <si>
    <t>317168132</t>
  </si>
  <si>
    <t>Překlad keramický vysoký v 23,8 cm dl 150 cm</t>
  </si>
  <si>
    <t>26</t>
  </si>
  <si>
    <t>317168133</t>
  </si>
  <si>
    <t>Překlad keramický vysoký v 23,8 cm dl 175 cm</t>
  </si>
  <si>
    <t>27</t>
  </si>
  <si>
    <t>317168134</t>
  </si>
  <si>
    <t>Překlad keramický vysoký v 23,8 cm dl 200 cm</t>
  </si>
  <si>
    <t>28</t>
  </si>
  <si>
    <t>317998111</t>
  </si>
  <si>
    <t>Tepelná izolace mezi překlady v 24 cm z polystyrénu tl do 50 mm</t>
  </si>
  <si>
    <t>1,5+1,75+1,25*3+2</t>
  </si>
  <si>
    <t>29</t>
  </si>
  <si>
    <t>339921112</t>
  </si>
  <si>
    <t>Osazování betonových palisád do betonového základu jednotlivě výšky prvku přes 0,5 do 1 m</t>
  </si>
  <si>
    <t>1,5*4*9"schody</t>
  </si>
  <si>
    <t>30</t>
  </si>
  <si>
    <t>M</t>
  </si>
  <si>
    <t>592284080</t>
  </si>
  <si>
    <t>BEST-PALISÁDA PREMIUM betonová přírodní 11x11x60 cm</t>
  </si>
  <si>
    <t>31</t>
  </si>
  <si>
    <t>342248140</t>
  </si>
  <si>
    <t>Příčky z cihel broušených POROTHERM tl 80 mm pevnosti P10 s lepenými žebry</t>
  </si>
  <si>
    <t>2,9*2,7-0,8*1,97</t>
  </si>
  <si>
    <t>32</t>
  </si>
  <si>
    <t>342291111</t>
  </si>
  <si>
    <t>Ukotvení příček montážní polyuretanovou pěnou tl příčky do 100 mm</t>
  </si>
  <si>
    <t>2,6*2</t>
  </si>
  <si>
    <t>33</t>
  </si>
  <si>
    <t>346244811</t>
  </si>
  <si>
    <t>Přizdívky izolační tl 65 mm z cihel dl 290 mm pevnosti P 20 na MC 10</t>
  </si>
  <si>
    <t>3,2*1,16+2*1,16+2,4*0,56</t>
  </si>
  <si>
    <t>34</t>
  </si>
  <si>
    <t>346245999</t>
  </si>
  <si>
    <t>Příplatek k přizdívkám izolačním za ochranu svislé izolace zaléváním maltou min MC 10</t>
  </si>
  <si>
    <t>35</t>
  </si>
  <si>
    <t>411168115</t>
  </si>
  <si>
    <t>Strop keramický tl 19 cm z vložek MIAKO a keramobetonových nosníků OVN 50 cm</t>
  </si>
  <si>
    <t>36</t>
  </si>
  <si>
    <t>411351103</t>
  </si>
  <si>
    <t>Zřízení bednění stropů pod vložky z tvárnic</t>
  </si>
  <si>
    <t>37</t>
  </si>
  <si>
    <t>411351104</t>
  </si>
  <si>
    <t>Odstranění bednění stropů pod vložky z tvárnic</t>
  </si>
  <si>
    <t>38</t>
  </si>
  <si>
    <t>417321313</t>
  </si>
  <si>
    <t>Ztužující pásy a věnce ze ŽB tř. C 16/20</t>
  </si>
  <si>
    <t>0,23*0,2*(3,2*2+6,1+0,4)</t>
  </si>
  <si>
    <t>39</t>
  </si>
  <si>
    <t>417351115</t>
  </si>
  <si>
    <t>Zřízení bednění ztužujících věnců</t>
  </si>
  <si>
    <t>0,2*(3,2*2+6,7+2,9*2+6,1+0,4)</t>
  </si>
  <si>
    <t>40</t>
  </si>
  <si>
    <t>417361221</t>
  </si>
  <si>
    <t>Výztuž ztužujících pásů a věnců betonářskou ocelí 10 216</t>
  </si>
  <si>
    <t>6*(3,2*2+6,7)/1000</t>
  </si>
  <si>
    <t>41</t>
  </si>
  <si>
    <t>430321313</t>
  </si>
  <si>
    <t>Schodišťová konstrukce a rampa ze ŽB tř. C 16/20</t>
  </si>
  <si>
    <t>(0,5*1,55+1,9*1,4)*0,15</t>
  </si>
  <si>
    <t>42</t>
  </si>
  <si>
    <t>430361121</t>
  </si>
  <si>
    <t>Výztuž schodišťové konstrukce a rampy betonářskou ocelí 10 216</t>
  </si>
  <si>
    <t>43</t>
  </si>
  <si>
    <t>433351135</t>
  </si>
  <si>
    <t>Zřízení bednění schodnic křivočarých schodišť v do 4 m</t>
  </si>
  <si>
    <t>(0,5+0,1)*1</t>
  </si>
  <si>
    <t>44</t>
  </si>
  <si>
    <t>433351136</t>
  </si>
  <si>
    <t>Odstranění bednění schodnic křivočarých schodišť v do 4 m</t>
  </si>
  <si>
    <t>45</t>
  </si>
  <si>
    <t>434351145</t>
  </si>
  <si>
    <t>Zřízení bednění stupňů křivočarých schodišť</t>
  </si>
  <si>
    <t>1,9*0,5</t>
  </si>
  <si>
    <t>46</t>
  </si>
  <si>
    <t>434351146</t>
  </si>
  <si>
    <t>Odstranění bednění stupňů křivočarých schodišť</t>
  </si>
  <si>
    <t>47</t>
  </si>
  <si>
    <t>596211110</t>
  </si>
  <si>
    <t>Kladení zámkové dlažby komunikací pro pěší tl 60 mm skupiny A pl do 50 m2</t>
  </si>
  <si>
    <t>2,4*2,8</t>
  </si>
  <si>
    <t>48</t>
  </si>
  <si>
    <t>592450070</t>
  </si>
  <si>
    <t>dlažba zámková H-PROFIL HBB 20x16,5x8 cm přírodní</t>
  </si>
  <si>
    <t>49</t>
  </si>
  <si>
    <t>611321141</t>
  </si>
  <si>
    <t>Vápenocementová omítka štuková dvouvrstvá vnitřních stropů rovných nanášená ručně</t>
  </si>
  <si>
    <t>50</t>
  </si>
  <si>
    <t>612321141</t>
  </si>
  <si>
    <t>Vápenocementová omítka štuková dvouvrstvá vnitřních stěn nanášená ručně</t>
  </si>
  <si>
    <t>(2,9*2+6,1*2+0,4)*2,1-0,9*1,95"1.PP</t>
  </si>
  <si>
    <t>2,6*(1,5*2+2,9*2*2+4,5*2+0,4)-(1,2*1,5+0,9*1,5*3+1,4*2,1+1,3*2)</t>
  </si>
  <si>
    <t>51</t>
  </si>
  <si>
    <t>619991011</t>
  </si>
  <si>
    <t>Obalení konstrukcí a prvků fólií přilepenou lepící páskou</t>
  </si>
  <si>
    <t>0,9*1,95+1,2*1,5+0,9*1,5*3+1,4*2,1</t>
  </si>
  <si>
    <t>52</t>
  </si>
  <si>
    <t>622121111</t>
  </si>
  <si>
    <t>Zatření spár cementovou maltou vnějších stěn z tvárnic nebo kamene</t>
  </si>
  <si>
    <t>1*(2*3+1)+3,2*1+2,3*1+2,4*1,2+2,4*1,6+3,2*2,16-0,9*1,95</t>
  </si>
  <si>
    <t>0,6*1*2+(1+0,4)*1</t>
  </si>
  <si>
    <t>53</t>
  </si>
  <si>
    <t>622321141</t>
  </si>
  <si>
    <t>Vápenocementová omítka štuková dvouvrstvá vnějších stěn nanášená ručně</t>
  </si>
  <si>
    <t>3*(3,2*2+6,7+0,4)-(1,2*1,5+0,9*1,5*3+1,4*2,1)</t>
  </si>
  <si>
    <t>54</t>
  </si>
  <si>
    <t>631311115</t>
  </si>
  <si>
    <t>Mazanina tl do 80 mm z betonu prostého tř. C 20/25</t>
  </si>
  <si>
    <t>0,06*(5,8*2,75+1,2*0,25/2+17,99)</t>
  </si>
  <si>
    <t>55</t>
  </si>
  <si>
    <t>631319011</t>
  </si>
  <si>
    <t>Příplatek k mazanině tl do 80 mm za přehlazení povrchu</t>
  </si>
  <si>
    <t>56</t>
  </si>
  <si>
    <t>632451021</t>
  </si>
  <si>
    <t>Vyrovnávací potěr tl do 20 mm z MC 15 provedený v pásu</t>
  </si>
  <si>
    <t>0,3*(1,2+0,9*3)"potěr parapety</t>
  </si>
  <si>
    <t>57</t>
  </si>
  <si>
    <t>916231213</t>
  </si>
  <si>
    <t>Osazení chodníkového obrubníku betonového stojatého s boční opěrou do lože z betonu prostého</t>
  </si>
  <si>
    <t>58</t>
  </si>
  <si>
    <t>592174130</t>
  </si>
  <si>
    <t>obrubník betonový chodníkový Standard 25x10x25 cm</t>
  </si>
  <si>
    <t>59</t>
  </si>
  <si>
    <t>949101111</t>
  </si>
  <si>
    <t>Lešení pomocné pro objekty pozemních staveb s lešeňovou podlahou v do 1,9 m zatížení do 150 kg/m2</t>
  </si>
  <si>
    <t>(3,2+3,6+0,8)*0,8</t>
  </si>
  <si>
    <t>60</t>
  </si>
  <si>
    <t>949101112</t>
  </si>
  <si>
    <t>Lešení pomocné pro objekty pozemních staveb s lešeňovou podlahou v do 3,5 m zatížení do 150 kg/m2</t>
  </si>
  <si>
    <t>7,1*0,8</t>
  </si>
  <si>
    <t>61</t>
  </si>
  <si>
    <t>952901111</t>
  </si>
  <si>
    <t>Vyčištění budov bytové a občanské výstavby při výšce podlaží do 4 m</t>
  </si>
  <si>
    <t>13,3+4,4+18</t>
  </si>
  <si>
    <t>62</t>
  </si>
  <si>
    <t>961044111</t>
  </si>
  <si>
    <t>Bourání základů z betonu prostého</t>
  </si>
  <si>
    <t>(1,1+0,35+1,1*2+2+3)*0,4*1</t>
  </si>
  <si>
    <t>63</t>
  </si>
  <si>
    <t>962022391</t>
  </si>
  <si>
    <t>Bourání zdiva nadzákladového kamenného na MV nebo MVC</t>
  </si>
  <si>
    <t>0,35*(1,1+0,35)*0,9+0,35*1,1*2*0,4+0,35*0,4*2*(1+1,5)"zídky</t>
  </si>
  <si>
    <t>64</t>
  </si>
  <si>
    <t>962032231</t>
  </si>
  <si>
    <t>Bourání zdiva z cihel pálených nebo vápenopískových na MV nebo MVC</t>
  </si>
  <si>
    <t>0,35*1,1*2*0,4+0,35*2*(1+1,5)*1"zídky</t>
  </si>
  <si>
    <t>65</t>
  </si>
  <si>
    <t>963022819</t>
  </si>
  <si>
    <t>Bourání kamenných schodišťových stupňů zhotovených na místě</t>
  </si>
  <si>
    <t>1,5*5</t>
  </si>
  <si>
    <t>66</t>
  </si>
  <si>
    <t>965043431</t>
  </si>
  <si>
    <t>Bourání podkladů pod dlažby betonových s potěrem nebo teracem tl do 150 mm pl do 4 m2</t>
  </si>
  <si>
    <t>2,465*0,15</t>
  </si>
  <si>
    <t>67</t>
  </si>
  <si>
    <t>965081343</t>
  </si>
  <si>
    <t>Bourání podlah z dlaždic betonových, teracových nebo čedičových tl do 40 mm plochy přes 1 m2</t>
  </si>
  <si>
    <t>2,4*0,85-0,2*0,25*2+0,35*1,5"podesta</t>
  </si>
  <si>
    <t>68</t>
  </si>
  <si>
    <t>965082922</t>
  </si>
  <si>
    <t>Odstranění násypů pod podlahy tl do 100 mm pl do 2 m2</t>
  </si>
  <si>
    <t>(2,4*0,85-0,2*0,25*2+0,35*1,5)*1,27+1,5*1,3*0,8+0,1*(7,1*0,5+2*1,2+2,3*2,1+2*0,5)</t>
  </si>
  <si>
    <t>69</t>
  </si>
  <si>
    <t>96604R001</t>
  </si>
  <si>
    <t>Rozebrání  desek betonových na schodišti</t>
  </si>
  <si>
    <t>2*(2,4+0,35)+0,8</t>
  </si>
  <si>
    <t>70</t>
  </si>
  <si>
    <t>966051111</t>
  </si>
  <si>
    <t>Bourání betonových palisád osazovaných v řadě</t>
  </si>
  <si>
    <t>0,225+0,2</t>
  </si>
  <si>
    <t>71</t>
  </si>
  <si>
    <t>966055121</t>
  </si>
  <si>
    <t>Vybourání částí ŽB říms vyložených přes 500 mm</t>
  </si>
  <si>
    <t>72</t>
  </si>
  <si>
    <t>997002611</t>
  </si>
  <si>
    <t>Nakládání suti a vybouraných hmot</t>
  </si>
  <si>
    <t>73</t>
  </si>
  <si>
    <t>997013501</t>
  </si>
  <si>
    <t>Odvoz suti na skládku a vybouraných hmot nebo meziskládku do 1 km se složením</t>
  </si>
  <si>
    <t>74</t>
  </si>
  <si>
    <t>997013509</t>
  </si>
  <si>
    <t>Příplatek k odvozu suti a vybouraných hmot na skládku ZKD 1 km přes 1 km</t>
  </si>
  <si>
    <t>32,225*18</t>
  </si>
  <si>
    <t>75</t>
  </si>
  <si>
    <t>997013831</t>
  </si>
  <si>
    <t>Poplatek za uložení stavebního směsného odpadu na skládce (skládkovné)</t>
  </si>
  <si>
    <t>76</t>
  </si>
  <si>
    <t>998011001</t>
  </si>
  <si>
    <t>Přesun hmot pro budovy zděné v do 6 m</t>
  </si>
  <si>
    <t>77</t>
  </si>
  <si>
    <t>711111001</t>
  </si>
  <si>
    <t>Provedení izolace proti zemní vlhkosti vodorovné za studena nátěrem penetračním</t>
  </si>
  <si>
    <t>7*3,35+2*0,3</t>
  </si>
  <si>
    <t>78</t>
  </si>
  <si>
    <t>111631500</t>
  </si>
  <si>
    <t>lak asfaltový ALP/9 bal 9 kg</t>
  </si>
  <si>
    <t>79</t>
  </si>
  <si>
    <t>711112001</t>
  </si>
  <si>
    <t>Provedení izolace proti zemní vlhkosti svislé za studena nátěrem penetračním</t>
  </si>
  <si>
    <t>80</t>
  </si>
  <si>
    <t>81</t>
  </si>
  <si>
    <t>711141559</t>
  </si>
  <si>
    <t>Provedení izolace proti zemní vlhkosti pásy přitavením vodorovné NAIP</t>
  </si>
  <si>
    <t>82</t>
  </si>
  <si>
    <t>628321340</t>
  </si>
  <si>
    <t>pás těžký asfaltovaný BITAGIT 40 MINERÁL (V60S40)</t>
  </si>
  <si>
    <t>83</t>
  </si>
  <si>
    <t>711142559</t>
  </si>
  <si>
    <t>Provedení izolace proti zemní vlhkosti pásy přitavením svislé NAIP</t>
  </si>
  <si>
    <t>84</t>
  </si>
  <si>
    <t>85</t>
  </si>
  <si>
    <t>998711201</t>
  </si>
  <si>
    <t>Přesun hmot procentní pro izolace proti vodě, vlhkosti a plynům v objektech v do 6 m</t>
  </si>
  <si>
    <t>%</t>
  </si>
  <si>
    <t>86</t>
  </si>
  <si>
    <t>712391172</t>
  </si>
  <si>
    <t>Provedení povlakové krytiny střech do 10° ochranné textilní vrstvy</t>
  </si>
  <si>
    <t>(7,6+0,3)*4,4/2+3,6*4,5</t>
  </si>
  <si>
    <t>87</t>
  </si>
  <si>
    <t>6931100</t>
  </si>
  <si>
    <t>Jutafol vč. pásků</t>
  </si>
  <si>
    <t>88</t>
  </si>
  <si>
    <t>998712201</t>
  </si>
  <si>
    <t>Přesun hmot procentní pro krytiny povlakové v objektech v do 6 m</t>
  </si>
  <si>
    <t>89</t>
  </si>
  <si>
    <t>713111111</t>
  </si>
  <si>
    <t>Montáž izolace tepelné vrchem stropů volně kladenými rohožemi, pásy, dílci, deskami</t>
  </si>
  <si>
    <t>(13,3+4,4+0,1*2,9)*2"půda</t>
  </si>
  <si>
    <t>90</t>
  </si>
  <si>
    <t>631481050</t>
  </si>
  <si>
    <t>deska minerální střešní izolační ISOVER ORSIK 600x1200 mm tl. 120 mm</t>
  </si>
  <si>
    <t>91</t>
  </si>
  <si>
    <t>631481060</t>
  </si>
  <si>
    <t>deska minerální střešní izolační ISOVER ORSIK 600x1200 mm tl. 140 mm</t>
  </si>
  <si>
    <t>92</t>
  </si>
  <si>
    <t>713121111</t>
  </si>
  <si>
    <t>Montáž izolace tepelné podlah volně kladenými rohožemi, pásy, dílci, deskami 1 vrstva</t>
  </si>
  <si>
    <t>18+13,3+4,4</t>
  </si>
  <si>
    <t>93</t>
  </si>
  <si>
    <t>283759090</t>
  </si>
  <si>
    <t>deska z pěnového polystyrenu bílá EPS 150 S 1000 x 1000 x 50 mm 1.PP</t>
  </si>
  <si>
    <t>94</t>
  </si>
  <si>
    <t>283759120</t>
  </si>
  <si>
    <t>deska z pěnového polystyrenu bílá EPS 150 S 1000 x 1000 x 80 mm</t>
  </si>
  <si>
    <t>13,3+4,4"1.NP</t>
  </si>
  <si>
    <t>95</t>
  </si>
  <si>
    <t>713131121</t>
  </si>
  <si>
    <t>Montáž izolace tepelné stěn přichycením dráty rohoží, pásů, dílců, desek</t>
  </si>
  <si>
    <t>0,2*(3,2*2+6,7+0,4)"věnce</t>
  </si>
  <si>
    <t>96</t>
  </si>
  <si>
    <t>283723060</t>
  </si>
  <si>
    <t>deska z pěnového polystyrenu bílá EPS 100 S 1000 x 1000 x 60 mm</t>
  </si>
  <si>
    <t>97</t>
  </si>
  <si>
    <t>713191132</t>
  </si>
  <si>
    <t>Montáž izolace tepelné podlah, stropů vrchem nebo střech překrytí separační fólií z PE</t>
  </si>
  <si>
    <t>35,7+35,98</t>
  </si>
  <si>
    <t>98</t>
  </si>
  <si>
    <t>283231500</t>
  </si>
  <si>
    <t>fólie separační PE bal. 100 m2</t>
  </si>
  <si>
    <t>99</t>
  </si>
  <si>
    <t>998713201</t>
  </si>
  <si>
    <t>Přesun hmot procentní pro izolace tepelné v objektech v do 6 m</t>
  </si>
  <si>
    <t>73139R001</t>
  </si>
  <si>
    <t xml:space="preserve">Vytápění - prodloužení stáv. soustavy, radiátor 3 ks, staveb. přípomoce </t>
  </si>
  <si>
    <t>101</t>
  </si>
  <si>
    <t>998731201</t>
  </si>
  <si>
    <t>Přesun hmot procentní pro kotelny v objektech v do 6 m</t>
  </si>
  <si>
    <t>102</t>
  </si>
  <si>
    <t>74111R001</t>
  </si>
  <si>
    <t>Demontáž stáv. osvětlení nad vstupem</t>
  </si>
  <si>
    <t>103</t>
  </si>
  <si>
    <t>74111R002</t>
  </si>
  <si>
    <t>Elektroinstalace vč. revize</t>
  </si>
  <si>
    <t>104</t>
  </si>
  <si>
    <t>74361R005</t>
  </si>
  <si>
    <t>Dodávka + montáž vodič uzemňovací FeZn pásek vč. napojení na stáv. soustavu</t>
  </si>
  <si>
    <t>105</t>
  </si>
  <si>
    <t>762333133</t>
  </si>
  <si>
    <t>Montáž vázaných kcí krovů nepravidelných z hraněného řeziva průřezové plochy do 288 cm2</t>
  </si>
  <si>
    <t>106</t>
  </si>
  <si>
    <t>605121210</t>
  </si>
  <si>
    <t>řezivo jehličnaté hranol jakost I-II délka 4 - 5 m</t>
  </si>
  <si>
    <t>72,28*0,1*0,16*1,1</t>
  </si>
  <si>
    <t>107</t>
  </si>
  <si>
    <t>762342314</t>
  </si>
  <si>
    <t>Montáž laťování + kontralatě na střechách složitých sklonu do 60° osové vzdálenosti do 360 mm</t>
  </si>
  <si>
    <t>108</t>
  </si>
  <si>
    <t>605141130</t>
  </si>
  <si>
    <t>řezivo jehličnaté,střešní latě impregnované dl 2 - 3,5 m</t>
  </si>
  <si>
    <t>(57,93+54+44+41,33)*0,05*0,06*1,1</t>
  </si>
  <si>
    <t>109</t>
  </si>
  <si>
    <t>762395000</t>
  </si>
  <si>
    <t>Spojovací prostředky pro montáž krovu, bednění, laťování, světlíky, klíny</t>
  </si>
  <si>
    <t>1,272+0,651</t>
  </si>
  <si>
    <t>110</t>
  </si>
  <si>
    <t>998762201</t>
  </si>
  <si>
    <t>Přesun hmot procentní pro kce tesařské v objektech v do 6 m</t>
  </si>
  <si>
    <t>111</t>
  </si>
  <si>
    <t>763131411</t>
  </si>
  <si>
    <t>SDK podhled desky 1xA 12,5 bez TI dvouvrstvá spodní kce profil CD+UD</t>
  </si>
  <si>
    <t>13,3+4,4</t>
  </si>
  <si>
    <t>112</t>
  </si>
  <si>
    <t>763131714</t>
  </si>
  <si>
    <t>SDK podhled základní penetrační nátěr</t>
  </si>
  <si>
    <t>113</t>
  </si>
  <si>
    <t>998763200</t>
  </si>
  <si>
    <t>Přesun hmot procentní pro dřevostavby v objektech v do 6 m</t>
  </si>
  <si>
    <t>114</t>
  </si>
  <si>
    <t>764252201</t>
  </si>
  <si>
    <t>Žlab Cu podokapní půlkruhový rš 250 mm</t>
  </si>
  <si>
    <t>3,75*2+7,85</t>
  </si>
  <si>
    <t>115</t>
  </si>
  <si>
    <t>764259215</t>
  </si>
  <si>
    <t>Žlab Cu - kotlík kulatý vel. 280/80 mm</t>
  </si>
  <si>
    <t>116</t>
  </si>
  <si>
    <t>764291220</t>
  </si>
  <si>
    <t>Střešní prvky Cu - závětrná lišta rš 330 mm</t>
  </si>
  <si>
    <t>0,2+4,6*2</t>
  </si>
  <si>
    <t>117</t>
  </si>
  <si>
    <t>764510220</t>
  </si>
  <si>
    <t>Oplechování Cu parapetů rš 160 mm včetně rohů</t>
  </si>
  <si>
    <t>1,3+1*3</t>
  </si>
  <si>
    <t>118</t>
  </si>
  <si>
    <t>764554202</t>
  </si>
  <si>
    <t>Odpadní trouby Cu kruhové D 100 mm</t>
  </si>
  <si>
    <t>119</t>
  </si>
  <si>
    <t>998764201</t>
  </si>
  <si>
    <t>Přesun hmot procentní pro konstrukce klempířské v objektech v do 6 m</t>
  </si>
  <si>
    <t>120</t>
  </si>
  <si>
    <t>765111013</t>
  </si>
  <si>
    <t>Montáž krytiny keramické drážkové sklonu do 30° na sucho přes 9 do 10 ks/m2</t>
  </si>
  <si>
    <t>121</t>
  </si>
  <si>
    <t>59660</t>
  </si>
  <si>
    <t>tašky vč. prvků</t>
  </si>
  <si>
    <t>122</t>
  </si>
  <si>
    <t>998765201</t>
  </si>
  <si>
    <t>Přesun hmot procentní pro krytiny skládané v objektech v do 6 m</t>
  </si>
  <si>
    <t>123</t>
  </si>
  <si>
    <t>76612R001</t>
  </si>
  <si>
    <t>D+M okna plast</t>
  </si>
  <si>
    <t>1,2*1,5+0,9*1,5*3</t>
  </si>
  <si>
    <t>124</t>
  </si>
  <si>
    <t>76612R002</t>
  </si>
  <si>
    <t>D+M dveře venkovní vč. zárubně, prahu, vč. kování 900/1950</t>
  </si>
  <si>
    <t>125</t>
  </si>
  <si>
    <t>76612R003</t>
  </si>
  <si>
    <t>D+M dveře venkovní vč. zárubně, prahu a kování 1400/2100</t>
  </si>
  <si>
    <t>126</t>
  </si>
  <si>
    <t>76621R004</t>
  </si>
  <si>
    <t>D+M dveře dvnitřní vč. zárubní, prahu a kování 800/1970</t>
  </si>
  <si>
    <t>127</t>
  </si>
  <si>
    <t>766421232</t>
  </si>
  <si>
    <t>Montáž obložení podhledů jednoduchých palubkami z tvrdého dřeva š do 80 mm</t>
  </si>
  <si>
    <t>(3,65*2+7,5)*0,7</t>
  </si>
  <si>
    <t>128</t>
  </si>
  <si>
    <t>611911550</t>
  </si>
  <si>
    <t>palubky obkladové SM profil klasický 19 x 116 mm A/B</t>
  </si>
  <si>
    <t>129</t>
  </si>
  <si>
    <t>766427112</t>
  </si>
  <si>
    <t>Montáž obložení podhledů podkladového roštu</t>
  </si>
  <si>
    <t>130</t>
  </si>
  <si>
    <t>59,200*0,02*0,02</t>
  </si>
  <si>
    <t>131</t>
  </si>
  <si>
    <t>766694111</t>
  </si>
  <si>
    <t>Montáž parapetních desek dřevěných, laminovaných šířky do 30 cm délky do 1,0 m</t>
  </si>
  <si>
    <t>132</t>
  </si>
  <si>
    <t>607941000</t>
  </si>
  <si>
    <t>deska parapetní dřevotřísková vnitřní POSTFORMING 0,15 x 1 m</t>
  </si>
  <si>
    <t>1,2+0,9*3</t>
  </si>
  <si>
    <t>133</t>
  </si>
  <si>
    <t>607941210</t>
  </si>
  <si>
    <t>koncovka PVC k parapetním deskám 600 mm</t>
  </si>
  <si>
    <t>134</t>
  </si>
  <si>
    <t>998766201</t>
  </si>
  <si>
    <t>Přesun hmot procentní pro konstrukce truhlářské v objektech v do 6 m</t>
  </si>
  <si>
    <t>135</t>
  </si>
  <si>
    <t>767161211</t>
  </si>
  <si>
    <t>Montáž zábradlí rovného z profilové oceli do zdi do hmotnosti 20 kg</t>
  </si>
  <si>
    <t>(1,1+0,5)*2</t>
  </si>
  <si>
    <t>136</t>
  </si>
  <si>
    <t>607561</t>
  </si>
  <si>
    <t>Zábradlí vč. povrchové úpravy - Jakl</t>
  </si>
  <si>
    <t>137</t>
  </si>
  <si>
    <t>767161813</t>
  </si>
  <si>
    <t>Demontáž zábradlí rovného nerozebíratelného hmotnosti 1m zábradlí do 20 kg</t>
  </si>
  <si>
    <t>138</t>
  </si>
  <si>
    <t>767161R002</t>
  </si>
  <si>
    <t>D+M střška : kovová konstrukce+makrolon 1*2 m, do oblouku</t>
  </si>
  <si>
    <t>139</t>
  </si>
  <si>
    <t>998767201</t>
  </si>
  <si>
    <t>Přesun hmot procentní pro zámečnické konstrukce v objektech v do 6 m</t>
  </si>
  <si>
    <t>140</t>
  </si>
  <si>
    <t>771271123</t>
  </si>
  <si>
    <t>Montáž obkladů stupnic z dlaždic protiskluzných keramických do malty š do 300 mm</t>
  </si>
  <si>
    <t>141</t>
  </si>
  <si>
    <t>771271242</t>
  </si>
  <si>
    <t>Montáž obkladů podstupnic z dlaždic protiskluzných keramických do malty v do 200 mm</t>
  </si>
  <si>
    <t>142</t>
  </si>
  <si>
    <t>597611180</t>
  </si>
  <si>
    <t>dlaždice keramické protiskluz</t>
  </si>
  <si>
    <t>6*0,3+8*0,17</t>
  </si>
  <si>
    <t>143</t>
  </si>
  <si>
    <t>771411113</t>
  </si>
  <si>
    <t>Montáž soklíků pórovinových rovných do malty v do 120 mm</t>
  </si>
  <si>
    <t>1,5*2+2,9*4+4,5*2+0,4-1,4-0,8*2-1,3+0,3</t>
  </si>
  <si>
    <t>144</t>
  </si>
  <si>
    <t>597611360</t>
  </si>
  <si>
    <t xml:space="preserve">dlaždice keramické </t>
  </si>
  <si>
    <t>20,000*0,12</t>
  </si>
  <si>
    <t>145</t>
  </si>
  <si>
    <t>771411133</t>
  </si>
  <si>
    <t>Montáž soklíků pórovinových schodišťových stupňovitých do malty v do 120 mm</t>
  </si>
  <si>
    <t>1,6*2+0,8*2+0,4</t>
  </si>
  <si>
    <t>146</t>
  </si>
  <si>
    <t>5,200*0,12</t>
  </si>
  <si>
    <t>147</t>
  </si>
  <si>
    <t>771571113</t>
  </si>
  <si>
    <t>Montáž podlah z keramických dlaždic režných hladkých do malty do 12 ks/m2</t>
  </si>
  <si>
    <t>148</t>
  </si>
  <si>
    <t>597610280</t>
  </si>
  <si>
    <t xml:space="preserve">obkládačky keramické </t>
  </si>
  <si>
    <t>149</t>
  </si>
  <si>
    <t>771571131</t>
  </si>
  <si>
    <t>Montáž podlah z keramických dlaždic protiskluzných do malty do 50 ks/m2</t>
  </si>
  <si>
    <t>1,6*0,7"podesta</t>
  </si>
  <si>
    <t>150</t>
  </si>
  <si>
    <t>597610290</t>
  </si>
  <si>
    <t>obkládačky keramické protiskluz.</t>
  </si>
  <si>
    <t>151</t>
  </si>
  <si>
    <t>771579196</t>
  </si>
  <si>
    <t>Příplatek k montáž podlah keramických za spárování tmelem dvousložkovým</t>
  </si>
  <si>
    <t>152</t>
  </si>
  <si>
    <t>771579197</t>
  </si>
  <si>
    <t>Příplatek k montáž podlah keramických za lepení dvousložkovým lepidlem</t>
  </si>
  <si>
    <t>153</t>
  </si>
  <si>
    <t>998771201</t>
  </si>
  <si>
    <t>Přesun hmot procentní pro podlahy z dlaždic v objektech v do 6 m</t>
  </si>
  <si>
    <t>154</t>
  </si>
  <si>
    <t>783726300</t>
  </si>
  <si>
    <t>Nátěry syntetické tesařských konstrukcí barva standardní lazurovacím lakem 3x lakování</t>
  </si>
  <si>
    <t>155</t>
  </si>
  <si>
    <t>783783311</t>
  </si>
  <si>
    <t>Nátěry tesařských kcí proti dřevokazným houbám, hmyzu a plísním preventivní dvojnásobné v interiéru</t>
  </si>
  <si>
    <t>33,58*2,35</t>
  </si>
  <si>
    <t>156</t>
  </si>
  <si>
    <t>78411R001</t>
  </si>
  <si>
    <t xml:space="preserve">Malby </t>
  </si>
  <si>
    <t>38,64+62,4</t>
  </si>
  <si>
    <t>157</t>
  </si>
  <si>
    <t>78411R002</t>
  </si>
  <si>
    <t>Malba SDK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</si>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</sst>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6" fontId="9" fillId="34" borderId="0" xfId="0" applyNumberFormat="1" applyFont="1" applyFill="1" applyAlignment="1">
      <alignment horizontal="left" vertical="top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1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6A0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4EA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12" t="s">
        <v>0</v>
      </c>
      <c r="B1" s="213"/>
      <c r="C1" s="213"/>
      <c r="D1" s="214" t="s">
        <v>1</v>
      </c>
      <c r="E1" s="213"/>
      <c r="F1" s="213"/>
      <c r="G1" s="213"/>
      <c r="H1" s="213"/>
      <c r="I1" s="213"/>
      <c r="J1" s="213"/>
      <c r="K1" s="215" t="s">
        <v>712</v>
      </c>
      <c r="L1" s="215"/>
      <c r="M1" s="215"/>
      <c r="N1" s="215"/>
      <c r="O1" s="215"/>
      <c r="P1" s="215"/>
      <c r="Q1" s="215"/>
      <c r="R1" s="215"/>
      <c r="S1" s="215"/>
      <c r="T1" s="213"/>
      <c r="U1" s="213"/>
      <c r="V1" s="213"/>
      <c r="W1" s="215" t="s">
        <v>713</v>
      </c>
      <c r="X1" s="215"/>
      <c r="Y1" s="215"/>
      <c r="Z1" s="215"/>
      <c r="AA1" s="215"/>
      <c r="AB1" s="215"/>
      <c r="AC1" s="215"/>
      <c r="AD1" s="215"/>
      <c r="AE1" s="215"/>
      <c r="AF1" s="215"/>
      <c r="AG1" s="213"/>
      <c r="AH1" s="21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181" t="s">
        <v>5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9" t="s">
        <v>9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50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53" t="s">
        <v>15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Q6" s="11"/>
      <c r="BE6" s="148"/>
      <c r="BS6" s="6" t="s">
        <v>16</v>
      </c>
    </row>
    <row r="7" spans="2:71" s="2" customFormat="1" ht="7.5" customHeight="1">
      <c r="B7" s="10"/>
      <c r="AQ7" s="11"/>
      <c r="BE7" s="148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48"/>
      <c r="BS8" s="6" t="s">
        <v>22</v>
      </c>
    </row>
    <row r="9" spans="2:71" s="2" customFormat="1" ht="15" customHeight="1">
      <c r="B9" s="10"/>
      <c r="AQ9" s="11"/>
      <c r="BE9" s="148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48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48"/>
      <c r="BS11" s="6" t="s">
        <v>16</v>
      </c>
    </row>
    <row r="12" spans="2:71" s="2" customFormat="1" ht="7.5" customHeight="1">
      <c r="B12" s="10"/>
      <c r="AQ12" s="11"/>
      <c r="BE12" s="148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48"/>
      <c r="BS13" s="6" t="s">
        <v>16</v>
      </c>
    </row>
    <row r="14" spans="2:71" s="2" customFormat="1" ht="15.75" customHeight="1">
      <c r="B14" s="10"/>
      <c r="E14" s="154" t="s">
        <v>29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5" t="s">
        <v>27</v>
      </c>
      <c r="AN14" s="18" t="s">
        <v>29</v>
      </c>
      <c r="AQ14" s="11"/>
      <c r="BE14" s="148"/>
      <c r="BS14" s="6" t="s">
        <v>16</v>
      </c>
    </row>
    <row r="15" spans="2:71" s="2" customFormat="1" ht="7.5" customHeight="1">
      <c r="B15" s="10"/>
      <c r="AQ15" s="11"/>
      <c r="BE15" s="148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 t="s">
        <v>31</v>
      </c>
      <c r="AQ16" s="11"/>
      <c r="BE16" s="148"/>
      <c r="BS16" s="6" t="s">
        <v>3</v>
      </c>
    </row>
    <row r="17" spans="2:71" s="2" customFormat="1" ht="19.5" customHeight="1">
      <c r="B17" s="10"/>
      <c r="E17" s="16" t="s">
        <v>32</v>
      </c>
      <c r="AK17" s="15" t="s">
        <v>27</v>
      </c>
      <c r="AN17" s="16" t="s">
        <v>33</v>
      </c>
      <c r="AQ17" s="11"/>
      <c r="BE17" s="148"/>
      <c r="BS17" s="6" t="s">
        <v>34</v>
      </c>
    </row>
    <row r="18" spans="2:71" s="2" customFormat="1" ht="7.5" customHeight="1">
      <c r="B18" s="10"/>
      <c r="AQ18" s="11"/>
      <c r="BE18" s="148"/>
      <c r="BS18" s="6" t="s">
        <v>6</v>
      </c>
    </row>
    <row r="19" spans="2:71" s="2" customFormat="1" ht="15" customHeight="1">
      <c r="B19" s="10"/>
      <c r="D19" s="15" t="s">
        <v>35</v>
      </c>
      <c r="AK19" s="15" t="s">
        <v>25</v>
      </c>
      <c r="AN19" s="16"/>
      <c r="AQ19" s="11"/>
      <c r="BE19" s="148"/>
      <c r="BS19" s="6" t="s">
        <v>16</v>
      </c>
    </row>
    <row r="20" spans="2:57" s="2" customFormat="1" ht="19.5" customHeight="1">
      <c r="B20" s="10"/>
      <c r="E20" s="16" t="s">
        <v>36</v>
      </c>
      <c r="AK20" s="15" t="s">
        <v>27</v>
      </c>
      <c r="AN20" s="16"/>
      <c r="AQ20" s="11"/>
      <c r="BE20" s="148"/>
    </row>
    <row r="21" spans="2:57" s="2" customFormat="1" ht="7.5" customHeight="1">
      <c r="B21" s="10"/>
      <c r="AQ21" s="11"/>
      <c r="BE21" s="148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48"/>
    </row>
    <row r="23" spans="2:57" s="2" customFormat="1" ht="15" customHeight="1">
      <c r="B23" s="10"/>
      <c r="D23" s="20" t="s">
        <v>37</v>
      </c>
      <c r="AK23" s="155">
        <f>ROUNDUP($AG$87,2)</f>
        <v>0</v>
      </c>
      <c r="AL23" s="148"/>
      <c r="AM23" s="148"/>
      <c r="AN23" s="148"/>
      <c r="AO23" s="148"/>
      <c r="AQ23" s="11"/>
      <c r="BE23" s="148"/>
    </row>
    <row r="24" spans="2:57" s="2" customFormat="1" ht="15" customHeight="1">
      <c r="B24" s="10"/>
      <c r="D24" s="20" t="s">
        <v>38</v>
      </c>
      <c r="AK24" s="155">
        <f>ROUNDUP($AG$90,2)</f>
        <v>0</v>
      </c>
      <c r="AL24" s="148"/>
      <c r="AM24" s="148"/>
      <c r="AN24" s="148"/>
      <c r="AO24" s="148"/>
      <c r="AQ24" s="11"/>
      <c r="BE24" s="148"/>
    </row>
    <row r="25" spans="2:57" s="6" customFormat="1" ht="7.5" customHeight="1">
      <c r="B25" s="21"/>
      <c r="AQ25" s="22"/>
      <c r="BE25" s="151"/>
    </row>
    <row r="26" spans="2:57" s="6" customFormat="1" ht="27" customHeight="1">
      <c r="B26" s="21"/>
      <c r="D26" s="23" t="s">
        <v>39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6">
        <f>ROUNDUP($AK$23+$AK$24,2)</f>
        <v>0</v>
      </c>
      <c r="AL26" s="157"/>
      <c r="AM26" s="157"/>
      <c r="AN26" s="157"/>
      <c r="AO26" s="157"/>
      <c r="AQ26" s="22"/>
      <c r="BE26" s="151"/>
    </row>
    <row r="27" spans="2:57" s="6" customFormat="1" ht="7.5" customHeight="1">
      <c r="B27" s="21"/>
      <c r="AQ27" s="22"/>
      <c r="BE27" s="151"/>
    </row>
    <row r="28" spans="2:57" s="6" customFormat="1" ht="15" customHeight="1">
      <c r="B28" s="25"/>
      <c r="D28" s="26" t="s">
        <v>40</v>
      </c>
      <c r="F28" s="26" t="s">
        <v>41</v>
      </c>
      <c r="L28" s="158">
        <v>0.21</v>
      </c>
      <c r="M28" s="152"/>
      <c r="N28" s="152"/>
      <c r="O28" s="152"/>
      <c r="T28" s="28" t="s">
        <v>42</v>
      </c>
      <c r="W28" s="159">
        <f>ROUNDUP($AZ$87+SUM($CD$91:$CD$104),2)</f>
        <v>0</v>
      </c>
      <c r="X28" s="152"/>
      <c r="Y28" s="152"/>
      <c r="Z28" s="152"/>
      <c r="AA28" s="152"/>
      <c r="AB28" s="152"/>
      <c r="AC28" s="152"/>
      <c r="AD28" s="152"/>
      <c r="AE28" s="152"/>
      <c r="AK28" s="159">
        <f>ROUNDUP($AV$87+SUM($BY$91:$BY$104),1)</f>
        <v>0</v>
      </c>
      <c r="AL28" s="152"/>
      <c r="AM28" s="152"/>
      <c r="AN28" s="152"/>
      <c r="AO28" s="152"/>
      <c r="AQ28" s="29"/>
      <c r="BE28" s="152"/>
    </row>
    <row r="29" spans="2:57" s="6" customFormat="1" ht="15" customHeight="1">
      <c r="B29" s="25"/>
      <c r="F29" s="26" t="s">
        <v>43</v>
      </c>
      <c r="L29" s="158">
        <v>0.15</v>
      </c>
      <c r="M29" s="152"/>
      <c r="N29" s="152"/>
      <c r="O29" s="152"/>
      <c r="T29" s="28" t="s">
        <v>42</v>
      </c>
      <c r="W29" s="159">
        <f>ROUNDUP($BA$87+SUM($CE$91:$CE$104),2)</f>
        <v>0</v>
      </c>
      <c r="X29" s="152"/>
      <c r="Y29" s="152"/>
      <c r="Z29" s="152"/>
      <c r="AA29" s="152"/>
      <c r="AB29" s="152"/>
      <c r="AC29" s="152"/>
      <c r="AD29" s="152"/>
      <c r="AE29" s="152"/>
      <c r="AK29" s="159">
        <f>ROUNDUP($AW$87+SUM($BZ$91:$BZ$104),1)</f>
        <v>0</v>
      </c>
      <c r="AL29" s="152"/>
      <c r="AM29" s="152"/>
      <c r="AN29" s="152"/>
      <c r="AO29" s="152"/>
      <c r="AQ29" s="29"/>
      <c r="BE29" s="152"/>
    </row>
    <row r="30" spans="2:57" s="6" customFormat="1" ht="15" customHeight="1" hidden="1">
      <c r="B30" s="25"/>
      <c r="F30" s="26" t="s">
        <v>44</v>
      </c>
      <c r="L30" s="158">
        <v>0.21</v>
      </c>
      <c r="M30" s="152"/>
      <c r="N30" s="152"/>
      <c r="O30" s="152"/>
      <c r="T30" s="28" t="s">
        <v>42</v>
      </c>
      <c r="W30" s="159">
        <f>ROUNDUP($BB$87+SUM($CF$91:$CF$104),2)</f>
        <v>0</v>
      </c>
      <c r="X30" s="152"/>
      <c r="Y30" s="152"/>
      <c r="Z30" s="152"/>
      <c r="AA30" s="152"/>
      <c r="AB30" s="152"/>
      <c r="AC30" s="152"/>
      <c r="AD30" s="152"/>
      <c r="AE30" s="152"/>
      <c r="AK30" s="159">
        <v>0</v>
      </c>
      <c r="AL30" s="152"/>
      <c r="AM30" s="152"/>
      <c r="AN30" s="152"/>
      <c r="AO30" s="152"/>
      <c r="AQ30" s="29"/>
      <c r="BE30" s="152"/>
    </row>
    <row r="31" spans="2:57" s="6" customFormat="1" ht="15" customHeight="1" hidden="1">
      <c r="B31" s="25"/>
      <c r="F31" s="26" t="s">
        <v>45</v>
      </c>
      <c r="L31" s="158">
        <v>0.15</v>
      </c>
      <c r="M31" s="152"/>
      <c r="N31" s="152"/>
      <c r="O31" s="152"/>
      <c r="T31" s="28" t="s">
        <v>42</v>
      </c>
      <c r="W31" s="159">
        <f>ROUNDUP($BC$87+SUM($CG$91:$CG$104),2)</f>
        <v>0</v>
      </c>
      <c r="X31" s="152"/>
      <c r="Y31" s="152"/>
      <c r="Z31" s="152"/>
      <c r="AA31" s="152"/>
      <c r="AB31" s="152"/>
      <c r="AC31" s="152"/>
      <c r="AD31" s="152"/>
      <c r="AE31" s="152"/>
      <c r="AK31" s="159">
        <v>0</v>
      </c>
      <c r="AL31" s="152"/>
      <c r="AM31" s="152"/>
      <c r="AN31" s="152"/>
      <c r="AO31" s="152"/>
      <c r="AQ31" s="29"/>
      <c r="BE31" s="152"/>
    </row>
    <row r="32" spans="2:57" s="6" customFormat="1" ht="15" customHeight="1" hidden="1">
      <c r="B32" s="25"/>
      <c r="F32" s="26" t="s">
        <v>46</v>
      </c>
      <c r="L32" s="158">
        <v>0</v>
      </c>
      <c r="M32" s="152"/>
      <c r="N32" s="152"/>
      <c r="O32" s="152"/>
      <c r="T32" s="28" t="s">
        <v>42</v>
      </c>
      <c r="W32" s="159">
        <f>ROUNDUP($BD$87+SUM($CH$91:$CH$104),2)</f>
        <v>0</v>
      </c>
      <c r="X32" s="152"/>
      <c r="Y32" s="152"/>
      <c r="Z32" s="152"/>
      <c r="AA32" s="152"/>
      <c r="AB32" s="152"/>
      <c r="AC32" s="152"/>
      <c r="AD32" s="152"/>
      <c r="AE32" s="152"/>
      <c r="AK32" s="159">
        <v>0</v>
      </c>
      <c r="AL32" s="152"/>
      <c r="AM32" s="152"/>
      <c r="AN32" s="152"/>
      <c r="AO32" s="152"/>
      <c r="AQ32" s="29"/>
      <c r="BE32" s="152"/>
    </row>
    <row r="33" spans="2:57" s="6" customFormat="1" ht="7.5" customHeight="1">
      <c r="B33" s="21"/>
      <c r="AQ33" s="22"/>
      <c r="BE33" s="151"/>
    </row>
    <row r="34" spans="2:57" s="6" customFormat="1" ht="27" customHeight="1">
      <c r="B34" s="21"/>
      <c r="C34" s="30"/>
      <c r="D34" s="31" t="s">
        <v>47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48</v>
      </c>
      <c r="U34" s="32"/>
      <c r="V34" s="32"/>
      <c r="W34" s="32"/>
      <c r="X34" s="160" t="s">
        <v>49</v>
      </c>
      <c r="Y34" s="161"/>
      <c r="Z34" s="161"/>
      <c r="AA34" s="161"/>
      <c r="AB34" s="161"/>
      <c r="AC34" s="32"/>
      <c r="AD34" s="32"/>
      <c r="AE34" s="32"/>
      <c r="AF34" s="32"/>
      <c r="AG34" s="32"/>
      <c r="AH34" s="32"/>
      <c r="AI34" s="32"/>
      <c r="AJ34" s="32"/>
      <c r="AK34" s="162">
        <f>ROUNDUP(SUM($AK$26:$AK$32),2)</f>
        <v>0</v>
      </c>
      <c r="AL34" s="161"/>
      <c r="AM34" s="161"/>
      <c r="AN34" s="161"/>
      <c r="AO34" s="163"/>
      <c r="AP34" s="30"/>
      <c r="AQ34" s="22"/>
      <c r="BE34" s="151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50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51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52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53</v>
      </c>
      <c r="S58" s="40"/>
      <c r="T58" s="40"/>
      <c r="U58" s="40"/>
      <c r="V58" s="40"/>
      <c r="W58" s="40"/>
      <c r="X58" s="40"/>
      <c r="Y58" s="40"/>
      <c r="Z58" s="42"/>
      <c r="AC58" s="39" t="s">
        <v>52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53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55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52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53</v>
      </c>
      <c r="S69" s="40"/>
      <c r="T69" s="40"/>
      <c r="U69" s="40"/>
      <c r="V69" s="40"/>
      <c r="W69" s="40"/>
      <c r="X69" s="40"/>
      <c r="Y69" s="40"/>
      <c r="Z69" s="42"/>
      <c r="AC69" s="39" t="s">
        <v>52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53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49" t="s">
        <v>56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53" t="str">
        <f>$K$6</f>
        <v>1308 - Stavební úpravy MŠ Kmochova - přístavba objektu</v>
      </c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Kolín</v>
      </c>
      <c r="AI80" s="15" t="s">
        <v>20</v>
      </c>
      <c r="AM80" s="52" t="str">
        <f>IF($AN$8="","",$AN$8)</f>
        <v>29.04.2013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Město Kolín, Karlovo nám. 78, 280 02 Kolín 1</v>
      </c>
      <c r="AI82" s="15" t="s">
        <v>30</v>
      </c>
      <c r="AM82" s="164" t="str">
        <f>IF($E$17="","",$E$17)</f>
        <v>Ing. Karel Vrátný, Rubešova 60, 280 02 Kolín 1</v>
      </c>
      <c r="AN82" s="151"/>
      <c r="AO82" s="151"/>
      <c r="AP82" s="151"/>
      <c r="AQ82" s="22"/>
      <c r="AS82" s="165" t="s">
        <v>57</v>
      </c>
      <c r="AT82" s="166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35</v>
      </c>
      <c r="AM83" s="164" t="str">
        <f>IF($E$20="","",$E$20)</f>
        <v>Alena Vrátná, Kolín</v>
      </c>
      <c r="AN83" s="151"/>
      <c r="AO83" s="151"/>
      <c r="AP83" s="151"/>
      <c r="AQ83" s="22"/>
      <c r="AS83" s="167"/>
      <c r="AT83" s="151"/>
      <c r="BD83" s="54"/>
    </row>
    <row r="84" spans="2:56" s="6" customFormat="1" ht="12" customHeight="1">
      <c r="B84" s="21"/>
      <c r="AQ84" s="22"/>
      <c r="AS84" s="167"/>
      <c r="AT84" s="151"/>
      <c r="BD84" s="54"/>
    </row>
    <row r="85" spans="2:57" s="6" customFormat="1" ht="30" customHeight="1">
      <c r="B85" s="21"/>
      <c r="C85" s="168" t="s">
        <v>58</v>
      </c>
      <c r="D85" s="161"/>
      <c r="E85" s="161"/>
      <c r="F85" s="161"/>
      <c r="G85" s="161"/>
      <c r="H85" s="32"/>
      <c r="I85" s="169" t="s">
        <v>59</v>
      </c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9" t="s">
        <v>60</v>
      </c>
      <c r="AH85" s="161"/>
      <c r="AI85" s="161"/>
      <c r="AJ85" s="161"/>
      <c r="AK85" s="161"/>
      <c r="AL85" s="161"/>
      <c r="AM85" s="161"/>
      <c r="AN85" s="169" t="s">
        <v>61</v>
      </c>
      <c r="AO85" s="161"/>
      <c r="AP85" s="163"/>
      <c r="AQ85" s="22"/>
      <c r="AS85" s="55" t="s">
        <v>62</v>
      </c>
      <c r="AT85" s="56" t="s">
        <v>63</v>
      </c>
      <c r="AU85" s="56" t="s">
        <v>64</v>
      </c>
      <c r="AV85" s="56" t="s">
        <v>65</v>
      </c>
      <c r="AW85" s="56" t="s">
        <v>66</v>
      </c>
      <c r="AX85" s="56" t="s">
        <v>67</v>
      </c>
      <c r="AY85" s="56" t="s">
        <v>68</v>
      </c>
      <c r="AZ85" s="56" t="s">
        <v>69</v>
      </c>
      <c r="BA85" s="56" t="s">
        <v>70</v>
      </c>
      <c r="BB85" s="56" t="s">
        <v>71</v>
      </c>
      <c r="BC85" s="56" t="s">
        <v>72</v>
      </c>
      <c r="BD85" s="57" t="s">
        <v>73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74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77">
        <f>ROUNDUP($AG$88,2)</f>
        <v>0</v>
      </c>
      <c r="AH87" s="178"/>
      <c r="AI87" s="178"/>
      <c r="AJ87" s="178"/>
      <c r="AK87" s="178"/>
      <c r="AL87" s="178"/>
      <c r="AM87" s="178"/>
      <c r="AN87" s="177">
        <f>ROUNDUP(SUM($AG$87,$AT$87),2)</f>
        <v>0</v>
      </c>
      <c r="AO87" s="178"/>
      <c r="AP87" s="178"/>
      <c r="AQ87" s="50"/>
      <c r="AS87" s="61">
        <f>ROUNDUP($AS$88,2)</f>
        <v>0</v>
      </c>
      <c r="AT87" s="62">
        <f>ROUNDUP(SUM($AV$87:$AW$87),1)</f>
        <v>0</v>
      </c>
      <c r="AU87" s="63">
        <f>ROUNDUP($AU$88,5)</f>
        <v>648.56139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ROUNDUP($AZ$88,2)</f>
        <v>0</v>
      </c>
      <c r="BA87" s="62">
        <f>ROUNDUP($BA$88,2)</f>
        <v>0</v>
      </c>
      <c r="BB87" s="62">
        <f>ROUNDUP($BB$88,2)</f>
        <v>0</v>
      </c>
      <c r="BC87" s="62">
        <f>ROUNDUP($BC$88,2)</f>
        <v>0</v>
      </c>
      <c r="BD87" s="64">
        <f>ROUNDUP($BD$88,2)</f>
        <v>0</v>
      </c>
      <c r="BS87" s="14" t="s">
        <v>75</v>
      </c>
      <c r="BT87" s="14" t="s">
        <v>76</v>
      </c>
      <c r="BV87" s="14" t="s">
        <v>77</v>
      </c>
      <c r="BW87" s="14" t="s">
        <v>78</v>
      </c>
      <c r="BX87" s="14" t="s">
        <v>79</v>
      </c>
    </row>
    <row r="88" spans="1:76" s="65" customFormat="1" ht="28.5" customHeight="1">
      <c r="A88" s="211" t="s">
        <v>714</v>
      </c>
      <c r="B88" s="66"/>
      <c r="C88" s="67"/>
      <c r="D88" s="172" t="s">
        <v>80</v>
      </c>
      <c r="E88" s="173"/>
      <c r="F88" s="173"/>
      <c r="G88" s="173"/>
      <c r="H88" s="173"/>
      <c r="I88" s="67"/>
      <c r="J88" s="172" t="s">
        <v>81</v>
      </c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0">
        <f>'1308 - Stavební úpravy MŠ...'!$M$26</f>
        <v>0</v>
      </c>
      <c r="AH88" s="171"/>
      <c r="AI88" s="171"/>
      <c r="AJ88" s="171"/>
      <c r="AK88" s="171"/>
      <c r="AL88" s="171"/>
      <c r="AM88" s="171"/>
      <c r="AN88" s="170">
        <f>ROUNDUP(SUM($AG$88,$AT$88),2)</f>
        <v>0</v>
      </c>
      <c r="AO88" s="171"/>
      <c r="AP88" s="171"/>
      <c r="AQ88" s="68"/>
      <c r="AS88" s="69">
        <f>'1308 - Stavební úpravy MŠ...'!$M$24</f>
        <v>0</v>
      </c>
      <c r="AT88" s="70">
        <f>ROUNDUP(SUM($AV$88:$AW$88),1)</f>
        <v>0</v>
      </c>
      <c r="AU88" s="71">
        <f>'1308 - Stavební úpravy MŠ...'!$W$139</f>
        <v>648.5613890000001</v>
      </c>
      <c r="AV88" s="70">
        <f>'1308 - Stavební úpravy MŠ...'!$M$28</f>
        <v>0</v>
      </c>
      <c r="AW88" s="70">
        <f>'1308 - Stavební úpravy MŠ...'!$M$29</f>
        <v>0</v>
      </c>
      <c r="AX88" s="70">
        <f>'1308 - Stavební úpravy MŠ...'!$M$30</f>
        <v>0</v>
      </c>
      <c r="AY88" s="70">
        <f>'1308 - Stavební úpravy MŠ...'!$M$31</f>
        <v>0</v>
      </c>
      <c r="AZ88" s="70">
        <f>'1308 - Stavební úpravy MŠ...'!$H$28</f>
        <v>0</v>
      </c>
      <c r="BA88" s="70">
        <f>'1308 - Stavební úpravy MŠ...'!$H$29</f>
        <v>0</v>
      </c>
      <c r="BB88" s="70">
        <f>'1308 - Stavební úpravy MŠ...'!$H$30</f>
        <v>0</v>
      </c>
      <c r="BC88" s="70">
        <f>'1308 - Stavební úpravy MŠ...'!$H$31</f>
        <v>0</v>
      </c>
      <c r="BD88" s="72">
        <f>'1308 - Stavební úpravy MŠ...'!$H$32</f>
        <v>0</v>
      </c>
      <c r="BT88" s="65" t="s">
        <v>17</v>
      </c>
      <c r="BU88" s="65" t="s">
        <v>82</v>
      </c>
      <c r="BV88" s="65" t="s">
        <v>77</v>
      </c>
      <c r="BW88" s="65" t="s">
        <v>78</v>
      </c>
      <c r="BX88" s="65" t="s">
        <v>79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60" t="s">
        <v>83</v>
      </c>
      <c r="AG90" s="177">
        <f>ROUNDUP(SUM($AG$91:$AG$103),2)</f>
        <v>0</v>
      </c>
      <c r="AH90" s="151"/>
      <c r="AI90" s="151"/>
      <c r="AJ90" s="151"/>
      <c r="AK90" s="151"/>
      <c r="AL90" s="151"/>
      <c r="AM90" s="151"/>
      <c r="AN90" s="177">
        <f>ROUNDUP(SUM($AN$91:$AN$103),2)</f>
        <v>0</v>
      </c>
      <c r="AO90" s="151"/>
      <c r="AP90" s="151"/>
      <c r="AQ90" s="22"/>
      <c r="AS90" s="55" t="s">
        <v>84</v>
      </c>
      <c r="AT90" s="56" t="s">
        <v>85</v>
      </c>
      <c r="AU90" s="56" t="s">
        <v>40</v>
      </c>
      <c r="AV90" s="57" t="s">
        <v>63</v>
      </c>
      <c r="AW90" s="58"/>
    </row>
    <row r="91" spans="2:89" s="6" customFormat="1" ht="21" customHeight="1">
      <c r="B91" s="21"/>
      <c r="D91" s="73" t="s">
        <v>86</v>
      </c>
      <c r="AG91" s="174">
        <f>ROUNDUP($AG$87*$AS$91,2)</f>
        <v>0</v>
      </c>
      <c r="AH91" s="151"/>
      <c r="AI91" s="151"/>
      <c r="AJ91" s="151"/>
      <c r="AK91" s="151"/>
      <c r="AL91" s="151"/>
      <c r="AM91" s="151"/>
      <c r="AN91" s="175">
        <f>ROUNDUP($AG$91+$AV$91,2)</f>
        <v>0</v>
      </c>
      <c r="AO91" s="151"/>
      <c r="AP91" s="151"/>
      <c r="AQ91" s="22"/>
      <c r="AS91" s="74">
        <v>0</v>
      </c>
      <c r="AT91" s="75" t="s">
        <v>87</v>
      </c>
      <c r="AU91" s="75" t="s">
        <v>41</v>
      </c>
      <c r="AV91" s="76">
        <f>ROUNDUP(IF($AU$91="základní",$AG$91*$L$28,IF($AU$91="snížená",$AG$91*$L$29,0)),2)</f>
        <v>0</v>
      </c>
      <c r="BV91" s="6" t="s">
        <v>88</v>
      </c>
      <c r="BY91" s="77">
        <f>IF($AU$91="základní",$AV$91,0)</f>
        <v>0</v>
      </c>
      <c r="BZ91" s="77">
        <f>IF($AU$91="snížená",$AV$91,0)</f>
        <v>0</v>
      </c>
      <c r="CA91" s="77">
        <v>0</v>
      </c>
      <c r="CB91" s="77">
        <v>0</v>
      </c>
      <c r="CC91" s="77">
        <v>0</v>
      </c>
      <c r="CD91" s="77">
        <f>IF($AU$91="základní",$AG$91,0)</f>
        <v>0</v>
      </c>
      <c r="CE91" s="77">
        <f>IF($AU$91="snížená",$AG$91,0)</f>
        <v>0</v>
      </c>
      <c r="CF91" s="77">
        <f>IF($AU$91="zákl. přenesená",$AG$91,0)</f>
        <v>0</v>
      </c>
      <c r="CG91" s="77">
        <f>IF($AU$91="sníž. přenesená",$AG$91,0)</f>
        <v>0</v>
      </c>
      <c r="CH91" s="77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3" t="s">
        <v>89</v>
      </c>
      <c r="AG92" s="174">
        <f>ROUNDUP($AG$87*$AS$92,2)</f>
        <v>0</v>
      </c>
      <c r="AH92" s="151"/>
      <c r="AI92" s="151"/>
      <c r="AJ92" s="151"/>
      <c r="AK92" s="151"/>
      <c r="AL92" s="151"/>
      <c r="AM92" s="151"/>
      <c r="AN92" s="175">
        <f>ROUNDUP($AG$92+$AV$92,2)</f>
        <v>0</v>
      </c>
      <c r="AO92" s="151"/>
      <c r="AP92" s="151"/>
      <c r="AQ92" s="22"/>
      <c r="AS92" s="78">
        <v>0</v>
      </c>
      <c r="AT92" s="79" t="s">
        <v>87</v>
      </c>
      <c r="AU92" s="79" t="s">
        <v>41</v>
      </c>
      <c r="AV92" s="80">
        <f>ROUNDUP(IF($AU$92="základní",$AG$92*$L$28,IF($AU$92="snížená",$AG$92*$L$29,0)),2)</f>
        <v>0</v>
      </c>
      <c r="BV92" s="6" t="s">
        <v>88</v>
      </c>
      <c r="BY92" s="77">
        <f>IF($AU$92="základní",$AV$92,0)</f>
        <v>0</v>
      </c>
      <c r="BZ92" s="77">
        <f>IF($AU$92="snížená",$AV$92,0)</f>
        <v>0</v>
      </c>
      <c r="CA92" s="77">
        <v>0</v>
      </c>
      <c r="CB92" s="77">
        <v>0</v>
      </c>
      <c r="CC92" s="77">
        <v>0</v>
      </c>
      <c r="CD92" s="77">
        <f>IF($AU$92="základní",$AG$92,0)</f>
        <v>0</v>
      </c>
      <c r="CE92" s="77">
        <f>IF($AU$92="snížená",$AG$92,0)</f>
        <v>0</v>
      </c>
      <c r="CF92" s="77">
        <f>IF($AU$92="zákl. přenesená",$AG$92,0)</f>
        <v>0</v>
      </c>
      <c r="CG92" s="77">
        <f>IF($AU$92="sníž. přenesená",$AG$92,0)</f>
        <v>0</v>
      </c>
      <c r="CH92" s="77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3" t="s">
        <v>90</v>
      </c>
      <c r="AG93" s="174">
        <f>ROUNDUP($AG$87*$AS$93,2)</f>
        <v>0</v>
      </c>
      <c r="AH93" s="151"/>
      <c r="AI93" s="151"/>
      <c r="AJ93" s="151"/>
      <c r="AK93" s="151"/>
      <c r="AL93" s="151"/>
      <c r="AM93" s="151"/>
      <c r="AN93" s="175">
        <f>ROUNDUP($AG$93+$AV$93,2)</f>
        <v>0</v>
      </c>
      <c r="AO93" s="151"/>
      <c r="AP93" s="151"/>
      <c r="AQ93" s="22"/>
      <c r="AS93" s="78">
        <v>0</v>
      </c>
      <c r="AT93" s="79" t="s">
        <v>87</v>
      </c>
      <c r="AU93" s="79" t="s">
        <v>41</v>
      </c>
      <c r="AV93" s="80">
        <f>ROUNDUP(IF($AU$93="základní",$AG$93*$L$28,IF($AU$93="snížená",$AG$93*$L$29,0)),2)</f>
        <v>0</v>
      </c>
      <c r="BV93" s="6" t="s">
        <v>88</v>
      </c>
      <c r="BY93" s="77">
        <f>IF($AU$93="základní",$AV$93,0)</f>
        <v>0</v>
      </c>
      <c r="BZ93" s="77">
        <f>IF($AU$93="snížená",$AV$93,0)</f>
        <v>0</v>
      </c>
      <c r="CA93" s="77">
        <v>0</v>
      </c>
      <c r="CB93" s="77">
        <v>0</v>
      </c>
      <c r="CC93" s="77">
        <v>0</v>
      </c>
      <c r="CD93" s="77">
        <f>IF($AU$93="základní",$AG$93,0)</f>
        <v>0</v>
      </c>
      <c r="CE93" s="77">
        <f>IF($AU$93="snížená",$AG$93,0)</f>
        <v>0</v>
      </c>
      <c r="CF93" s="77">
        <f>IF($AU$93="zákl. přenesená",$AG$93,0)</f>
        <v>0</v>
      </c>
      <c r="CG93" s="77">
        <f>IF($AU$93="sníž. přenesená",$AG$93,0)</f>
        <v>0</v>
      </c>
      <c r="CH93" s="77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3" t="s">
        <v>91</v>
      </c>
      <c r="AG94" s="174">
        <f>ROUNDUP($AG$87*$AS$94,2)</f>
        <v>0</v>
      </c>
      <c r="AH94" s="151"/>
      <c r="AI94" s="151"/>
      <c r="AJ94" s="151"/>
      <c r="AK94" s="151"/>
      <c r="AL94" s="151"/>
      <c r="AM94" s="151"/>
      <c r="AN94" s="175">
        <f>ROUNDUP($AG$94+$AV$94,2)</f>
        <v>0</v>
      </c>
      <c r="AO94" s="151"/>
      <c r="AP94" s="151"/>
      <c r="AQ94" s="22"/>
      <c r="AS94" s="78">
        <v>0</v>
      </c>
      <c r="AT94" s="79" t="s">
        <v>87</v>
      </c>
      <c r="AU94" s="79" t="s">
        <v>41</v>
      </c>
      <c r="AV94" s="80">
        <f>ROUNDUP(IF($AU$94="základní",$AG$94*$L$28,IF($AU$94="snížená",$AG$94*$L$29,0)),2)</f>
        <v>0</v>
      </c>
      <c r="BV94" s="6" t="s">
        <v>88</v>
      </c>
      <c r="BY94" s="77">
        <f>IF($AU$94="základní",$AV$94,0)</f>
        <v>0</v>
      </c>
      <c r="BZ94" s="77">
        <f>IF($AU$94="snížená",$AV$94,0)</f>
        <v>0</v>
      </c>
      <c r="CA94" s="77">
        <v>0</v>
      </c>
      <c r="CB94" s="77">
        <v>0</v>
      </c>
      <c r="CC94" s="77">
        <v>0</v>
      </c>
      <c r="CD94" s="77">
        <f>IF($AU$94="základní",$AG$94,0)</f>
        <v>0</v>
      </c>
      <c r="CE94" s="77">
        <f>IF($AU$94="snížená",$AG$94,0)</f>
        <v>0</v>
      </c>
      <c r="CF94" s="77">
        <f>IF($AU$94="zákl. přenesená",$AG$94,0)</f>
        <v>0</v>
      </c>
      <c r="CG94" s="77">
        <f>IF($AU$94="sníž. přenesená",$AG$94,0)</f>
        <v>0</v>
      </c>
      <c r="CH94" s="77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3" t="s">
        <v>92</v>
      </c>
      <c r="AG95" s="174">
        <f>ROUNDUP($AG$87*$AS$95,2)</f>
        <v>0</v>
      </c>
      <c r="AH95" s="151"/>
      <c r="AI95" s="151"/>
      <c r="AJ95" s="151"/>
      <c r="AK95" s="151"/>
      <c r="AL95" s="151"/>
      <c r="AM95" s="151"/>
      <c r="AN95" s="175">
        <f>ROUNDUP($AG$95+$AV$95,2)</f>
        <v>0</v>
      </c>
      <c r="AO95" s="151"/>
      <c r="AP95" s="151"/>
      <c r="AQ95" s="22"/>
      <c r="AS95" s="78">
        <v>0</v>
      </c>
      <c r="AT95" s="79" t="s">
        <v>87</v>
      </c>
      <c r="AU95" s="79" t="s">
        <v>41</v>
      </c>
      <c r="AV95" s="80">
        <f>ROUNDUP(IF($AU$95="základní",$AG$95*$L$28,IF($AU$95="snížená",$AG$95*$L$29,0)),2)</f>
        <v>0</v>
      </c>
      <c r="BV95" s="6" t="s">
        <v>88</v>
      </c>
      <c r="BY95" s="77">
        <f>IF($AU$95="základní",$AV$95,0)</f>
        <v>0</v>
      </c>
      <c r="BZ95" s="77">
        <f>IF($AU$95="snížená",$AV$95,0)</f>
        <v>0</v>
      </c>
      <c r="CA95" s="77">
        <v>0</v>
      </c>
      <c r="CB95" s="77">
        <v>0</v>
      </c>
      <c r="CC95" s="77">
        <v>0</v>
      </c>
      <c r="CD95" s="77">
        <f>IF($AU$95="základní",$AG$95,0)</f>
        <v>0</v>
      </c>
      <c r="CE95" s="77">
        <f>IF($AU$95="snížená",$AG$95,0)</f>
        <v>0</v>
      </c>
      <c r="CF95" s="77">
        <f>IF($AU$95="zákl. přenesená",$AG$95,0)</f>
        <v>0</v>
      </c>
      <c r="CG95" s="77">
        <f>IF($AU$95="sníž. přenesená",$AG$95,0)</f>
        <v>0</v>
      </c>
      <c r="CH95" s="77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3" t="s">
        <v>93</v>
      </c>
      <c r="AG96" s="174">
        <f>ROUNDUP($AG$87*$AS$96,2)</f>
        <v>0</v>
      </c>
      <c r="AH96" s="151"/>
      <c r="AI96" s="151"/>
      <c r="AJ96" s="151"/>
      <c r="AK96" s="151"/>
      <c r="AL96" s="151"/>
      <c r="AM96" s="151"/>
      <c r="AN96" s="175">
        <f>ROUNDUP($AG$96+$AV$96,2)</f>
        <v>0</v>
      </c>
      <c r="AO96" s="151"/>
      <c r="AP96" s="151"/>
      <c r="AQ96" s="22"/>
      <c r="AS96" s="78">
        <v>0</v>
      </c>
      <c r="AT96" s="79" t="s">
        <v>87</v>
      </c>
      <c r="AU96" s="79" t="s">
        <v>41</v>
      </c>
      <c r="AV96" s="80">
        <f>ROUNDUP(IF($AU$96="základní",$AG$96*$L$28,IF($AU$96="snížená",$AG$96*$L$29,0)),2)</f>
        <v>0</v>
      </c>
      <c r="BV96" s="6" t="s">
        <v>88</v>
      </c>
      <c r="BY96" s="77">
        <f>IF($AU$96="základní",$AV$96,0)</f>
        <v>0</v>
      </c>
      <c r="BZ96" s="77">
        <f>IF($AU$96="snížená",$AV$96,0)</f>
        <v>0</v>
      </c>
      <c r="CA96" s="77">
        <v>0</v>
      </c>
      <c r="CB96" s="77">
        <v>0</v>
      </c>
      <c r="CC96" s="77">
        <v>0</v>
      </c>
      <c r="CD96" s="77">
        <f>IF($AU$96="základní",$AG$96,0)</f>
        <v>0</v>
      </c>
      <c r="CE96" s="77">
        <f>IF($AU$96="snížená",$AG$96,0)</f>
        <v>0</v>
      </c>
      <c r="CF96" s="77">
        <f>IF($AU$96="zákl. přenesená",$AG$96,0)</f>
        <v>0</v>
      </c>
      <c r="CG96" s="77">
        <f>IF($AU$96="sníž. přenesená",$AG$96,0)</f>
        <v>0</v>
      </c>
      <c r="CH96" s="77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3" t="s">
        <v>94</v>
      </c>
      <c r="AG97" s="174">
        <f>ROUNDUP($AG$87*$AS$97,2)</f>
        <v>0</v>
      </c>
      <c r="AH97" s="151"/>
      <c r="AI97" s="151"/>
      <c r="AJ97" s="151"/>
      <c r="AK97" s="151"/>
      <c r="AL97" s="151"/>
      <c r="AM97" s="151"/>
      <c r="AN97" s="175">
        <f>ROUNDUP($AG$97+$AV$97,2)</f>
        <v>0</v>
      </c>
      <c r="AO97" s="151"/>
      <c r="AP97" s="151"/>
      <c r="AQ97" s="22"/>
      <c r="AS97" s="78">
        <v>0</v>
      </c>
      <c r="AT97" s="79" t="s">
        <v>87</v>
      </c>
      <c r="AU97" s="79" t="s">
        <v>41</v>
      </c>
      <c r="AV97" s="80">
        <f>ROUNDUP(IF($AU$97="základní",$AG$97*$L$28,IF($AU$97="snížená",$AG$97*$L$29,0)),2)</f>
        <v>0</v>
      </c>
      <c r="BV97" s="6" t="s">
        <v>88</v>
      </c>
      <c r="BY97" s="77">
        <f>IF($AU$97="základní",$AV$97,0)</f>
        <v>0</v>
      </c>
      <c r="BZ97" s="77">
        <f>IF($AU$97="snížená",$AV$97,0)</f>
        <v>0</v>
      </c>
      <c r="CA97" s="77">
        <v>0</v>
      </c>
      <c r="CB97" s="77">
        <v>0</v>
      </c>
      <c r="CC97" s="77">
        <v>0</v>
      </c>
      <c r="CD97" s="77">
        <f>IF($AU$97="základní",$AG$97,0)</f>
        <v>0</v>
      </c>
      <c r="CE97" s="77">
        <f>IF($AU$97="snížená",$AG$97,0)</f>
        <v>0</v>
      </c>
      <c r="CF97" s="77">
        <f>IF($AU$97="zákl. přenesená",$AG$97,0)</f>
        <v>0</v>
      </c>
      <c r="CG97" s="77">
        <f>IF($AU$97="sníž. přenesená",$AG$97,0)</f>
        <v>0</v>
      </c>
      <c r="CH97" s="77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3" t="s">
        <v>95</v>
      </c>
      <c r="AG98" s="174">
        <f>ROUNDUP($AG$87*$AS$98,2)</f>
        <v>0</v>
      </c>
      <c r="AH98" s="151"/>
      <c r="AI98" s="151"/>
      <c r="AJ98" s="151"/>
      <c r="AK98" s="151"/>
      <c r="AL98" s="151"/>
      <c r="AM98" s="151"/>
      <c r="AN98" s="175">
        <f>ROUNDUP($AG$98+$AV$98,2)</f>
        <v>0</v>
      </c>
      <c r="AO98" s="151"/>
      <c r="AP98" s="151"/>
      <c r="AQ98" s="22"/>
      <c r="AS98" s="78">
        <v>0</v>
      </c>
      <c r="AT98" s="79" t="s">
        <v>87</v>
      </c>
      <c r="AU98" s="79" t="s">
        <v>41</v>
      </c>
      <c r="AV98" s="80">
        <f>ROUNDUP(IF($AU$98="základní",$AG$98*$L$28,IF($AU$98="snížená",$AG$98*$L$29,0)),2)</f>
        <v>0</v>
      </c>
      <c r="BV98" s="6" t="s">
        <v>88</v>
      </c>
      <c r="BY98" s="77">
        <f>IF($AU$98="základní",$AV$98,0)</f>
        <v>0</v>
      </c>
      <c r="BZ98" s="77">
        <f>IF($AU$98="snížená",$AV$98,0)</f>
        <v>0</v>
      </c>
      <c r="CA98" s="77">
        <v>0</v>
      </c>
      <c r="CB98" s="77">
        <v>0</v>
      </c>
      <c r="CC98" s="77">
        <v>0</v>
      </c>
      <c r="CD98" s="77">
        <f>IF($AU$98="základní",$AG$98,0)</f>
        <v>0</v>
      </c>
      <c r="CE98" s="77">
        <f>IF($AU$98="snížená",$AG$98,0)</f>
        <v>0</v>
      </c>
      <c r="CF98" s="77">
        <f>IF($AU$98="zákl. přenesená",$AG$98,0)</f>
        <v>0</v>
      </c>
      <c r="CG98" s="77">
        <f>IF($AU$98="sníž. přenesená",$AG$98,0)</f>
        <v>0</v>
      </c>
      <c r="CH98" s="77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3" t="s">
        <v>96</v>
      </c>
      <c r="AG99" s="174">
        <f>ROUNDUP($AG$87*$AS$99,2)</f>
        <v>0</v>
      </c>
      <c r="AH99" s="151"/>
      <c r="AI99" s="151"/>
      <c r="AJ99" s="151"/>
      <c r="AK99" s="151"/>
      <c r="AL99" s="151"/>
      <c r="AM99" s="151"/>
      <c r="AN99" s="175">
        <f>ROUNDUP($AG$99+$AV$99,2)</f>
        <v>0</v>
      </c>
      <c r="AO99" s="151"/>
      <c r="AP99" s="151"/>
      <c r="AQ99" s="22"/>
      <c r="AS99" s="78">
        <v>0</v>
      </c>
      <c r="AT99" s="79" t="s">
        <v>87</v>
      </c>
      <c r="AU99" s="79" t="s">
        <v>41</v>
      </c>
      <c r="AV99" s="80">
        <f>ROUNDUP(IF($AU$99="základní",$AG$99*$L$28,IF($AU$99="snížená",$AG$99*$L$29,0)),2)</f>
        <v>0</v>
      </c>
      <c r="BV99" s="6" t="s">
        <v>88</v>
      </c>
      <c r="BY99" s="77">
        <f>IF($AU$99="základní",$AV$99,0)</f>
        <v>0</v>
      </c>
      <c r="BZ99" s="77">
        <f>IF($AU$99="snížená",$AV$99,0)</f>
        <v>0</v>
      </c>
      <c r="CA99" s="77">
        <v>0</v>
      </c>
      <c r="CB99" s="77">
        <v>0</v>
      </c>
      <c r="CC99" s="77">
        <v>0</v>
      </c>
      <c r="CD99" s="77">
        <f>IF($AU$99="základní",$AG$99,0)</f>
        <v>0</v>
      </c>
      <c r="CE99" s="77">
        <f>IF($AU$99="snížená",$AG$99,0)</f>
        <v>0</v>
      </c>
      <c r="CF99" s="77">
        <f>IF($AU$99="zákl. přenesená",$AG$99,0)</f>
        <v>0</v>
      </c>
      <c r="CG99" s="77">
        <f>IF($AU$99="sníž. přenesená",$AG$99,0)</f>
        <v>0</v>
      </c>
      <c r="CH99" s="77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3" t="s">
        <v>97</v>
      </c>
      <c r="AG100" s="174">
        <f>ROUNDUP($AG$87*$AS$100,2)</f>
        <v>0</v>
      </c>
      <c r="AH100" s="151"/>
      <c r="AI100" s="151"/>
      <c r="AJ100" s="151"/>
      <c r="AK100" s="151"/>
      <c r="AL100" s="151"/>
      <c r="AM100" s="151"/>
      <c r="AN100" s="175">
        <f>ROUNDUP($AG$100+$AV$100,2)</f>
        <v>0</v>
      </c>
      <c r="AO100" s="151"/>
      <c r="AP100" s="151"/>
      <c r="AQ100" s="22"/>
      <c r="AS100" s="78">
        <v>0</v>
      </c>
      <c r="AT100" s="79" t="s">
        <v>87</v>
      </c>
      <c r="AU100" s="79" t="s">
        <v>41</v>
      </c>
      <c r="AV100" s="80">
        <f>ROUNDUP(IF($AU$100="základní",$AG$100*$L$28,IF($AU$100="snížená",$AG$100*$L$29,0)),2)</f>
        <v>0</v>
      </c>
      <c r="BV100" s="6" t="s">
        <v>88</v>
      </c>
      <c r="BY100" s="77">
        <f>IF($AU$100="základní",$AV$100,0)</f>
        <v>0</v>
      </c>
      <c r="BZ100" s="77">
        <f>IF($AU$100="snížená",$AV$100,0)</f>
        <v>0</v>
      </c>
      <c r="CA100" s="77">
        <v>0</v>
      </c>
      <c r="CB100" s="77">
        <v>0</v>
      </c>
      <c r="CC100" s="77">
        <v>0</v>
      </c>
      <c r="CD100" s="77">
        <f>IF($AU$100="základní",$AG$100,0)</f>
        <v>0</v>
      </c>
      <c r="CE100" s="77">
        <f>IF($AU$100="snížená",$AG$100,0)</f>
        <v>0</v>
      </c>
      <c r="CF100" s="77">
        <f>IF($AU$100="zákl. přenesená",$AG$100,0)</f>
        <v>0</v>
      </c>
      <c r="CG100" s="77">
        <f>IF($AU$100="sníž. přenesená",$AG$100,0)</f>
        <v>0</v>
      </c>
      <c r="CH100" s="77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76" t="s">
        <v>98</v>
      </c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G101" s="174">
        <f>$AG$87*$AS$101</f>
        <v>0</v>
      </c>
      <c r="AH101" s="151"/>
      <c r="AI101" s="151"/>
      <c r="AJ101" s="151"/>
      <c r="AK101" s="151"/>
      <c r="AL101" s="151"/>
      <c r="AM101" s="151"/>
      <c r="AN101" s="175">
        <f>$AG$101+$AV$101</f>
        <v>0</v>
      </c>
      <c r="AO101" s="151"/>
      <c r="AP101" s="151"/>
      <c r="AQ101" s="22"/>
      <c r="AS101" s="78">
        <v>0</v>
      </c>
      <c r="AT101" s="79" t="s">
        <v>87</v>
      </c>
      <c r="AU101" s="79" t="s">
        <v>41</v>
      </c>
      <c r="AV101" s="80">
        <f>ROUNDUP(IF($AU$101="nulová",0,IF(OR($AU$101="základní",$AU$101="zákl. přenesená"),$AG$101*$L$28,$AG$101*$L$29)),1)</f>
        <v>0</v>
      </c>
      <c r="BV101" s="6" t="s">
        <v>99</v>
      </c>
      <c r="BY101" s="77">
        <f>IF($AU$101="základní",$AV$101,0)</f>
        <v>0</v>
      </c>
      <c r="BZ101" s="77">
        <f>IF($AU$101="snížená",$AV$101,0)</f>
        <v>0</v>
      </c>
      <c r="CA101" s="77">
        <f>IF($AU$101="zákl. přenesená",$AV$101,0)</f>
        <v>0</v>
      </c>
      <c r="CB101" s="77">
        <f>IF($AU$101="sníž. přenesená",$AV$101,0)</f>
        <v>0</v>
      </c>
      <c r="CC101" s="77">
        <f>IF($AU$101="nulová",$AV$101,0)</f>
        <v>0</v>
      </c>
      <c r="CD101" s="77">
        <f>IF($AU$101="základní",$AG$101,0)</f>
        <v>0</v>
      </c>
      <c r="CE101" s="77">
        <f>IF($AU$101="snížená",$AG$101,0)</f>
        <v>0</v>
      </c>
      <c r="CF101" s="77">
        <f>IF($AU$101="zákl. přenesená",$AG$101,0)</f>
        <v>0</v>
      </c>
      <c r="CG101" s="77">
        <f>IF($AU$101="sníž. přenesená",$AG$101,0)</f>
        <v>0</v>
      </c>
      <c r="CH101" s="77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76" t="s">
        <v>98</v>
      </c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G102" s="174">
        <f>$AG$87*$AS$102</f>
        <v>0</v>
      </c>
      <c r="AH102" s="151"/>
      <c r="AI102" s="151"/>
      <c r="AJ102" s="151"/>
      <c r="AK102" s="151"/>
      <c r="AL102" s="151"/>
      <c r="AM102" s="151"/>
      <c r="AN102" s="175">
        <f>$AG$102+$AV$102</f>
        <v>0</v>
      </c>
      <c r="AO102" s="151"/>
      <c r="AP102" s="151"/>
      <c r="AQ102" s="22"/>
      <c r="AS102" s="78">
        <v>0</v>
      </c>
      <c r="AT102" s="79" t="s">
        <v>87</v>
      </c>
      <c r="AU102" s="79" t="s">
        <v>41</v>
      </c>
      <c r="AV102" s="80">
        <f>ROUNDUP(IF($AU$102="nulová",0,IF(OR($AU$102="základní",$AU$102="zákl. přenesená"),$AG$102*$L$28,$AG$102*$L$29)),1)</f>
        <v>0</v>
      </c>
      <c r="BV102" s="6" t="s">
        <v>99</v>
      </c>
      <c r="BY102" s="77">
        <f>IF($AU$102="základní",$AV$102,0)</f>
        <v>0</v>
      </c>
      <c r="BZ102" s="77">
        <f>IF($AU$102="snížená",$AV$102,0)</f>
        <v>0</v>
      </c>
      <c r="CA102" s="77">
        <f>IF($AU$102="zákl. přenesená",$AV$102,0)</f>
        <v>0</v>
      </c>
      <c r="CB102" s="77">
        <f>IF($AU$102="sníž. přenesená",$AV$102,0)</f>
        <v>0</v>
      </c>
      <c r="CC102" s="77">
        <f>IF($AU$102="nulová",$AV$102,0)</f>
        <v>0</v>
      </c>
      <c r="CD102" s="77">
        <f>IF($AU$102="základní",$AG$102,0)</f>
        <v>0</v>
      </c>
      <c r="CE102" s="77">
        <f>IF($AU$102="snížená",$AG$102,0)</f>
        <v>0</v>
      </c>
      <c r="CF102" s="77">
        <f>IF($AU$102="zákl. přenesená",$AG$102,0)</f>
        <v>0</v>
      </c>
      <c r="CG102" s="77">
        <f>IF($AU$102="sníž. přenesená",$AG$102,0)</f>
        <v>0</v>
      </c>
      <c r="CH102" s="77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76" t="s">
        <v>98</v>
      </c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G103" s="174">
        <f>$AG$87*$AS$103</f>
        <v>0</v>
      </c>
      <c r="AH103" s="151"/>
      <c r="AI103" s="151"/>
      <c r="AJ103" s="151"/>
      <c r="AK103" s="151"/>
      <c r="AL103" s="151"/>
      <c r="AM103" s="151"/>
      <c r="AN103" s="175">
        <f>$AG$103+$AV$103</f>
        <v>0</v>
      </c>
      <c r="AO103" s="151"/>
      <c r="AP103" s="151"/>
      <c r="AQ103" s="22"/>
      <c r="AS103" s="81">
        <v>0</v>
      </c>
      <c r="AT103" s="82" t="s">
        <v>87</v>
      </c>
      <c r="AU103" s="82" t="s">
        <v>41</v>
      </c>
      <c r="AV103" s="83">
        <f>ROUNDUP(IF($AU$103="nulová",0,IF(OR($AU$103="základní",$AU$103="zákl. přenesená"),$AG$103*$L$28,$AG$103*$L$29)),1)</f>
        <v>0</v>
      </c>
      <c r="BV103" s="6" t="s">
        <v>99</v>
      </c>
      <c r="BY103" s="77">
        <f>IF($AU$103="základní",$AV$103,0)</f>
        <v>0</v>
      </c>
      <c r="BZ103" s="77">
        <f>IF($AU$103="snížená",$AV$103,0)</f>
        <v>0</v>
      </c>
      <c r="CA103" s="77">
        <f>IF($AU$103="zákl. přenesená",$AV$103,0)</f>
        <v>0</v>
      </c>
      <c r="CB103" s="77">
        <f>IF($AU$103="sníž. přenesená",$AV$103,0)</f>
        <v>0</v>
      </c>
      <c r="CC103" s="77">
        <f>IF($AU$103="nulová",$AV$103,0)</f>
        <v>0</v>
      </c>
      <c r="CD103" s="77">
        <f>IF($AU$103="základní",$AG$103,0)</f>
        <v>0</v>
      </c>
      <c r="CE103" s="77">
        <f>IF($AU$103="snížená",$AG$103,0)</f>
        <v>0</v>
      </c>
      <c r="CF103" s="77">
        <f>IF($AU$103="zákl. přenesená",$AG$103,0)</f>
        <v>0</v>
      </c>
      <c r="CG103" s="77">
        <f>IF($AU$103="sníž. přenesená",$AG$103,0)</f>
        <v>0</v>
      </c>
      <c r="CH103" s="77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4" t="s">
        <v>100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79">
        <f>ROUNDUP($AG$87+$AG$90,2)</f>
        <v>0</v>
      </c>
      <c r="AH105" s="180"/>
      <c r="AI105" s="180"/>
      <c r="AJ105" s="180"/>
      <c r="AK105" s="180"/>
      <c r="AL105" s="180"/>
      <c r="AM105" s="180"/>
      <c r="AN105" s="179">
        <f>ROUNDUP($AN$87+$AN$90,2)</f>
        <v>0</v>
      </c>
      <c r="AO105" s="180"/>
      <c r="AP105" s="180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sheetProtection/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08 - Stavební úpravy MŠ...'!C2" tooltip="1308 - Stavební úpravy M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6"/>
      <c r="B1" s="213"/>
      <c r="C1" s="213"/>
      <c r="D1" s="214" t="s">
        <v>1</v>
      </c>
      <c r="E1" s="213"/>
      <c r="F1" s="215" t="s">
        <v>715</v>
      </c>
      <c r="G1" s="215"/>
      <c r="H1" s="217" t="s">
        <v>716</v>
      </c>
      <c r="I1" s="217"/>
      <c r="J1" s="217"/>
      <c r="K1" s="217"/>
      <c r="L1" s="215" t="s">
        <v>717</v>
      </c>
      <c r="M1" s="213"/>
      <c r="N1" s="213"/>
      <c r="O1" s="214" t="s">
        <v>101</v>
      </c>
      <c r="P1" s="213"/>
      <c r="Q1" s="213"/>
      <c r="R1" s="213"/>
      <c r="S1" s="215" t="s">
        <v>718</v>
      </c>
      <c r="T1" s="215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81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102</v>
      </c>
    </row>
    <row r="4" spans="2:46" s="2" customFormat="1" ht="37.5" customHeight="1">
      <c r="B4" s="10"/>
      <c r="C4" s="149" t="s">
        <v>103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21"/>
      <c r="D6" s="14" t="s">
        <v>14</v>
      </c>
      <c r="F6" s="153" t="s">
        <v>15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22"/>
    </row>
    <row r="7" spans="2:18" s="6" customFormat="1" ht="7.5" customHeight="1">
      <c r="B7" s="21"/>
      <c r="R7" s="22"/>
    </row>
    <row r="8" spans="2:18" s="6" customFormat="1" ht="15" customHeight="1">
      <c r="B8" s="21"/>
      <c r="D8" s="15" t="s">
        <v>18</v>
      </c>
      <c r="F8" s="16" t="s">
        <v>19</v>
      </c>
      <c r="M8" s="15" t="s">
        <v>20</v>
      </c>
      <c r="O8" s="182" t="str">
        <f>'Rekapitulace stavby'!$AN$8</f>
        <v>29.04.2013</v>
      </c>
      <c r="P8" s="151"/>
      <c r="R8" s="22"/>
    </row>
    <row r="9" spans="2:18" s="6" customFormat="1" ht="7.5" customHeight="1">
      <c r="B9" s="21"/>
      <c r="R9" s="22"/>
    </row>
    <row r="10" spans="2:18" s="6" customFormat="1" ht="15" customHeight="1">
      <c r="B10" s="21"/>
      <c r="D10" s="15" t="s">
        <v>24</v>
      </c>
      <c r="M10" s="15" t="s">
        <v>25</v>
      </c>
      <c r="O10" s="164"/>
      <c r="P10" s="151"/>
      <c r="R10" s="22"/>
    </row>
    <row r="11" spans="2:18" s="6" customFormat="1" ht="18.75" customHeight="1">
      <c r="B11" s="21"/>
      <c r="E11" s="16" t="s">
        <v>26</v>
      </c>
      <c r="M11" s="15" t="s">
        <v>27</v>
      </c>
      <c r="O11" s="164"/>
      <c r="P11" s="151"/>
      <c r="R11" s="22"/>
    </row>
    <row r="12" spans="2:18" s="6" customFormat="1" ht="7.5" customHeight="1">
      <c r="B12" s="21"/>
      <c r="R12" s="22"/>
    </row>
    <row r="13" spans="2:18" s="6" customFormat="1" ht="15" customHeight="1">
      <c r="B13" s="21"/>
      <c r="D13" s="15" t="s">
        <v>28</v>
      </c>
      <c r="M13" s="15" t="s">
        <v>25</v>
      </c>
      <c r="O13" s="183" t="str">
        <f>IF('Rekapitulace stavby'!$AN$13="","",'Rekapitulace stavby'!$AN$13)</f>
        <v>Vyplň údaj</v>
      </c>
      <c r="P13" s="151"/>
      <c r="R13" s="22"/>
    </row>
    <row r="14" spans="2:18" s="6" customFormat="1" ht="18.75" customHeight="1">
      <c r="B14" s="21"/>
      <c r="E14" s="183" t="str">
        <f>IF('Rekapitulace stavby'!$E$14="","",'Rekapitulace stavby'!$E$14)</f>
        <v>Vyplň údaj</v>
      </c>
      <c r="F14" s="151"/>
      <c r="G14" s="151"/>
      <c r="H14" s="151"/>
      <c r="I14" s="151"/>
      <c r="J14" s="151"/>
      <c r="K14" s="151"/>
      <c r="L14" s="151"/>
      <c r="M14" s="15" t="s">
        <v>27</v>
      </c>
      <c r="O14" s="183" t="str">
        <f>IF('Rekapitulace stavby'!$AN$14="","",'Rekapitulace stavby'!$AN$14)</f>
        <v>Vyplň údaj</v>
      </c>
      <c r="P14" s="151"/>
      <c r="R14" s="22"/>
    </row>
    <row r="15" spans="2:18" s="6" customFormat="1" ht="7.5" customHeight="1">
      <c r="B15" s="21"/>
      <c r="R15" s="22"/>
    </row>
    <row r="16" spans="2:18" s="6" customFormat="1" ht="15" customHeight="1">
      <c r="B16" s="21"/>
      <c r="D16" s="15" t="s">
        <v>30</v>
      </c>
      <c r="M16" s="15" t="s">
        <v>25</v>
      </c>
      <c r="O16" s="164" t="s">
        <v>31</v>
      </c>
      <c r="P16" s="151"/>
      <c r="R16" s="22"/>
    </row>
    <row r="17" spans="2:18" s="6" customFormat="1" ht="18.75" customHeight="1">
      <c r="B17" s="21"/>
      <c r="E17" s="16" t="s">
        <v>32</v>
      </c>
      <c r="M17" s="15" t="s">
        <v>27</v>
      </c>
      <c r="O17" s="164" t="s">
        <v>33</v>
      </c>
      <c r="P17" s="151"/>
      <c r="R17" s="22"/>
    </row>
    <row r="18" spans="2:18" s="6" customFormat="1" ht="7.5" customHeight="1">
      <c r="B18" s="21"/>
      <c r="R18" s="22"/>
    </row>
    <row r="19" spans="2:18" s="6" customFormat="1" ht="15" customHeight="1">
      <c r="B19" s="21"/>
      <c r="D19" s="15" t="s">
        <v>35</v>
      </c>
      <c r="M19" s="15" t="s">
        <v>25</v>
      </c>
      <c r="O19" s="164"/>
      <c r="P19" s="151"/>
      <c r="R19" s="22"/>
    </row>
    <row r="20" spans="2:18" s="6" customFormat="1" ht="18.75" customHeight="1">
      <c r="B20" s="21"/>
      <c r="E20" s="16" t="s">
        <v>36</v>
      </c>
      <c r="M20" s="15" t="s">
        <v>27</v>
      </c>
      <c r="O20" s="164"/>
      <c r="P20" s="151"/>
      <c r="R20" s="22"/>
    </row>
    <row r="21" spans="2:18" s="6" customFormat="1" ht="7.5" customHeight="1">
      <c r="B21" s="21"/>
      <c r="R21" s="22"/>
    </row>
    <row r="22" spans="2:18" s="6" customFormat="1" ht="7.5" customHeight="1">
      <c r="B22" s="2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R22" s="22"/>
    </row>
    <row r="23" spans="2:18" s="6" customFormat="1" ht="15" customHeight="1">
      <c r="B23" s="21"/>
      <c r="D23" s="85" t="s">
        <v>104</v>
      </c>
      <c r="M23" s="155">
        <f>$N$87</f>
        <v>0</v>
      </c>
      <c r="N23" s="151"/>
      <c r="O23" s="151"/>
      <c r="P23" s="151"/>
      <c r="R23" s="22"/>
    </row>
    <row r="24" spans="2:18" s="6" customFormat="1" ht="15" customHeight="1">
      <c r="B24" s="21"/>
      <c r="D24" s="20" t="s">
        <v>93</v>
      </c>
      <c r="M24" s="155">
        <f>$N$115</f>
        <v>0</v>
      </c>
      <c r="N24" s="151"/>
      <c r="O24" s="151"/>
      <c r="P24" s="151"/>
      <c r="R24" s="22"/>
    </row>
    <row r="25" spans="2:18" s="6" customFormat="1" ht="7.5" customHeight="1">
      <c r="B25" s="21"/>
      <c r="R25" s="22"/>
    </row>
    <row r="26" spans="2:18" s="6" customFormat="1" ht="26.25" customHeight="1">
      <c r="B26" s="21"/>
      <c r="D26" s="86" t="s">
        <v>39</v>
      </c>
      <c r="M26" s="184">
        <f>ROUNDUP($M$23+$M$24,2)</f>
        <v>0</v>
      </c>
      <c r="N26" s="151"/>
      <c r="O26" s="151"/>
      <c r="P26" s="151"/>
      <c r="R26" s="22"/>
    </row>
    <row r="27" spans="2:18" s="6" customFormat="1" ht="7.5" customHeight="1">
      <c r="B27" s="2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R27" s="22"/>
    </row>
    <row r="28" spans="2:18" s="6" customFormat="1" ht="15" customHeight="1">
      <c r="B28" s="21"/>
      <c r="D28" s="26" t="s">
        <v>40</v>
      </c>
      <c r="E28" s="26" t="s">
        <v>41</v>
      </c>
      <c r="F28" s="27">
        <v>0.21</v>
      </c>
      <c r="G28" s="87" t="s">
        <v>42</v>
      </c>
      <c r="H28" s="185">
        <f>ROUNDUP((((SUM($BE$115:$BE$122)+SUM($BE$139:$BE$410))+SUM($BE$412:$BE$416))),2)</f>
        <v>0</v>
      </c>
      <c r="I28" s="151"/>
      <c r="J28" s="151"/>
      <c r="M28" s="185">
        <f>ROUNDUP((((SUM($BE$115:$BE$122)+SUM($BE$139:$BE$410))*$F$28)+SUM($BE$412:$BE$416)*$F$28),1)</f>
        <v>0</v>
      </c>
      <c r="N28" s="151"/>
      <c r="O28" s="151"/>
      <c r="P28" s="151"/>
      <c r="R28" s="22"/>
    </row>
    <row r="29" spans="2:18" s="6" customFormat="1" ht="15" customHeight="1">
      <c r="B29" s="21"/>
      <c r="E29" s="26" t="s">
        <v>43</v>
      </c>
      <c r="F29" s="27">
        <v>0.15</v>
      </c>
      <c r="G29" s="87" t="s">
        <v>42</v>
      </c>
      <c r="H29" s="185">
        <f>ROUNDUP((((SUM($BF$115:$BF$122)+SUM($BF$139:$BF$410))+SUM($BF$412:$BF$416))),2)</f>
        <v>0</v>
      </c>
      <c r="I29" s="151"/>
      <c r="J29" s="151"/>
      <c r="M29" s="185">
        <f>ROUNDUP((((SUM($BF$115:$BF$122)+SUM($BF$139:$BF$410))*$F$29)+SUM($BF$412:$BF$416)*$F$29),1)</f>
        <v>0</v>
      </c>
      <c r="N29" s="151"/>
      <c r="O29" s="151"/>
      <c r="P29" s="151"/>
      <c r="R29" s="22"/>
    </row>
    <row r="30" spans="2:18" s="6" customFormat="1" ht="15" customHeight="1" hidden="1">
      <c r="B30" s="21"/>
      <c r="E30" s="26" t="s">
        <v>44</v>
      </c>
      <c r="F30" s="27">
        <v>0.21</v>
      </c>
      <c r="G30" s="87" t="s">
        <v>42</v>
      </c>
      <c r="H30" s="185">
        <f>ROUNDUP((((SUM($BG$115:$BG$122)+SUM($BG$139:$BG$410))+SUM($BG$412:$BG$416))),2)</f>
        <v>0</v>
      </c>
      <c r="I30" s="151"/>
      <c r="J30" s="151"/>
      <c r="M30" s="185">
        <v>0</v>
      </c>
      <c r="N30" s="151"/>
      <c r="O30" s="151"/>
      <c r="P30" s="151"/>
      <c r="R30" s="22"/>
    </row>
    <row r="31" spans="2:18" s="6" customFormat="1" ht="15" customHeight="1" hidden="1">
      <c r="B31" s="21"/>
      <c r="E31" s="26" t="s">
        <v>45</v>
      </c>
      <c r="F31" s="27">
        <v>0.15</v>
      </c>
      <c r="G31" s="87" t="s">
        <v>42</v>
      </c>
      <c r="H31" s="185">
        <f>ROUNDUP((((SUM($BH$115:$BH$122)+SUM($BH$139:$BH$410))+SUM($BH$412:$BH$416))),2)</f>
        <v>0</v>
      </c>
      <c r="I31" s="151"/>
      <c r="J31" s="151"/>
      <c r="M31" s="185">
        <v>0</v>
      </c>
      <c r="N31" s="151"/>
      <c r="O31" s="151"/>
      <c r="P31" s="151"/>
      <c r="R31" s="22"/>
    </row>
    <row r="32" spans="2:18" s="6" customFormat="1" ht="15" customHeight="1" hidden="1">
      <c r="B32" s="21"/>
      <c r="E32" s="26" t="s">
        <v>46</v>
      </c>
      <c r="F32" s="27">
        <v>0</v>
      </c>
      <c r="G32" s="87" t="s">
        <v>42</v>
      </c>
      <c r="H32" s="185">
        <f>ROUNDUP((((SUM($BI$115:$BI$122)+SUM($BI$139:$BI$410))+SUM($BI$412:$BI$416))),2)</f>
        <v>0</v>
      </c>
      <c r="I32" s="151"/>
      <c r="J32" s="151"/>
      <c r="M32" s="185">
        <v>0</v>
      </c>
      <c r="N32" s="151"/>
      <c r="O32" s="151"/>
      <c r="P32" s="151"/>
      <c r="R32" s="22"/>
    </row>
    <row r="33" spans="2:18" s="6" customFormat="1" ht="7.5" customHeight="1">
      <c r="B33" s="21"/>
      <c r="R33" s="22"/>
    </row>
    <row r="34" spans="2:18" s="6" customFormat="1" ht="26.25" customHeight="1">
      <c r="B34" s="21"/>
      <c r="C34" s="30"/>
      <c r="D34" s="31" t="s">
        <v>47</v>
      </c>
      <c r="E34" s="32"/>
      <c r="F34" s="32"/>
      <c r="G34" s="88" t="s">
        <v>48</v>
      </c>
      <c r="H34" s="33" t="s">
        <v>49</v>
      </c>
      <c r="I34" s="32"/>
      <c r="J34" s="32"/>
      <c r="K34" s="32"/>
      <c r="L34" s="162">
        <f>ROUNDUP(SUM($M$26:$M$32),2)</f>
        <v>0</v>
      </c>
      <c r="M34" s="161"/>
      <c r="N34" s="161"/>
      <c r="O34" s="161"/>
      <c r="P34" s="163"/>
      <c r="Q34" s="30"/>
      <c r="R34" s="22"/>
    </row>
    <row r="35" spans="2:18" s="6" customFormat="1" ht="15" customHeight="1">
      <c r="B35" s="21"/>
      <c r="R35" s="22"/>
    </row>
    <row r="36" spans="2:18" s="6" customFormat="1" ht="15" customHeight="1">
      <c r="B36" s="21"/>
      <c r="R36" s="22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50</v>
      </c>
      <c r="E50" s="35"/>
      <c r="F50" s="35"/>
      <c r="G50" s="35"/>
      <c r="H50" s="36"/>
      <c r="J50" s="34" t="s">
        <v>51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52</v>
      </c>
      <c r="E59" s="40"/>
      <c r="F59" s="40"/>
      <c r="G59" s="41" t="s">
        <v>53</v>
      </c>
      <c r="H59" s="42"/>
      <c r="J59" s="39" t="s">
        <v>52</v>
      </c>
      <c r="K59" s="40"/>
      <c r="L59" s="40"/>
      <c r="M59" s="40"/>
      <c r="N59" s="41" t="s">
        <v>53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54</v>
      </c>
      <c r="E61" s="35"/>
      <c r="F61" s="35"/>
      <c r="G61" s="35"/>
      <c r="H61" s="36"/>
      <c r="J61" s="34" t="s">
        <v>55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52</v>
      </c>
      <c r="E70" s="40"/>
      <c r="F70" s="40"/>
      <c r="G70" s="41" t="s">
        <v>53</v>
      </c>
      <c r="H70" s="42"/>
      <c r="J70" s="39" t="s">
        <v>52</v>
      </c>
      <c r="K70" s="40"/>
      <c r="L70" s="40"/>
      <c r="M70" s="40"/>
      <c r="N70" s="41" t="s">
        <v>53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9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4" t="s">
        <v>14</v>
      </c>
      <c r="F78" s="153" t="str">
        <f>$F$6</f>
        <v>1308 - Stavební úpravy MŠ Kmochova - přístavba objektu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2"/>
    </row>
    <row r="79" spans="2:18" s="6" customFormat="1" ht="7.5" customHeight="1">
      <c r="B79" s="21"/>
      <c r="R79" s="22"/>
    </row>
    <row r="80" spans="2:18" s="6" customFormat="1" ht="18.75" customHeight="1">
      <c r="B80" s="21"/>
      <c r="C80" s="15" t="s">
        <v>18</v>
      </c>
      <c r="F80" s="16" t="str">
        <f>$F$8</f>
        <v>Kolín</v>
      </c>
      <c r="K80" s="15" t="s">
        <v>20</v>
      </c>
      <c r="M80" s="186" t="str">
        <f>IF($O$8="","",$O$8)</f>
        <v>29.04.2013</v>
      </c>
      <c r="N80" s="151"/>
      <c r="O80" s="151"/>
      <c r="P80" s="151"/>
      <c r="R80" s="22"/>
    </row>
    <row r="81" spans="2:18" s="6" customFormat="1" ht="7.5" customHeight="1">
      <c r="B81" s="21"/>
      <c r="R81" s="22"/>
    </row>
    <row r="82" spans="2:18" s="6" customFormat="1" ht="15.75" customHeight="1">
      <c r="B82" s="21"/>
      <c r="C82" s="15" t="s">
        <v>24</v>
      </c>
      <c r="F82" s="16" t="str">
        <f>$E$11</f>
        <v>Město Kolín, Karlovo nám. 78, 280 02 Kolín 1</v>
      </c>
      <c r="K82" s="15" t="s">
        <v>30</v>
      </c>
      <c r="M82" s="164" t="str">
        <f>$E$17</f>
        <v>Ing. Karel Vrátný, Rubešova 60, 280 02 Kolín 1</v>
      </c>
      <c r="N82" s="151"/>
      <c r="O82" s="151"/>
      <c r="P82" s="151"/>
      <c r="Q82" s="151"/>
      <c r="R82" s="22"/>
    </row>
    <row r="83" spans="2:18" s="6" customFormat="1" ht="15" customHeight="1">
      <c r="B83" s="21"/>
      <c r="C83" s="15" t="s">
        <v>28</v>
      </c>
      <c r="F83" s="16" t="str">
        <f>IF($E$14="","",$E$14)</f>
        <v>Vyplň údaj</v>
      </c>
      <c r="K83" s="15" t="s">
        <v>35</v>
      </c>
      <c r="M83" s="164" t="str">
        <f>$E$20</f>
        <v>Alena Vrátná, Kolín</v>
      </c>
      <c r="N83" s="151"/>
      <c r="O83" s="151"/>
      <c r="P83" s="151"/>
      <c r="Q83" s="151"/>
      <c r="R83" s="22"/>
    </row>
    <row r="84" spans="2:18" s="6" customFormat="1" ht="11.25" customHeight="1">
      <c r="B84" s="21"/>
      <c r="R84" s="22"/>
    </row>
    <row r="85" spans="2:18" s="6" customFormat="1" ht="30" customHeight="1">
      <c r="B85" s="21"/>
      <c r="C85" s="187" t="s">
        <v>106</v>
      </c>
      <c r="D85" s="180"/>
      <c r="E85" s="180"/>
      <c r="F85" s="180"/>
      <c r="G85" s="180"/>
      <c r="H85" s="30"/>
      <c r="I85" s="30"/>
      <c r="J85" s="30"/>
      <c r="K85" s="30"/>
      <c r="L85" s="30"/>
      <c r="M85" s="30"/>
      <c r="N85" s="187" t="s">
        <v>107</v>
      </c>
      <c r="O85" s="151"/>
      <c r="P85" s="151"/>
      <c r="Q85" s="151"/>
      <c r="R85" s="22"/>
    </row>
    <row r="86" spans="2:18" s="6" customFormat="1" ht="11.25" customHeight="1">
      <c r="B86" s="21"/>
      <c r="R86" s="22"/>
    </row>
    <row r="87" spans="2:47" s="6" customFormat="1" ht="30" customHeight="1">
      <c r="B87" s="21"/>
      <c r="C87" s="60" t="s">
        <v>108</v>
      </c>
      <c r="N87" s="177">
        <f>ROUNDUP($N$139,2)</f>
        <v>0</v>
      </c>
      <c r="O87" s="151"/>
      <c r="P87" s="151"/>
      <c r="Q87" s="151"/>
      <c r="R87" s="22"/>
      <c r="AU87" s="6" t="s">
        <v>109</v>
      </c>
    </row>
    <row r="88" spans="2:18" s="89" customFormat="1" ht="25.5" customHeight="1">
      <c r="B88" s="90"/>
      <c r="D88" s="91" t="s">
        <v>110</v>
      </c>
      <c r="N88" s="188">
        <f>ROUNDUP($N$140,2)</f>
        <v>0</v>
      </c>
      <c r="O88" s="189"/>
      <c r="P88" s="189"/>
      <c r="Q88" s="189"/>
      <c r="R88" s="92"/>
    </row>
    <row r="89" spans="2:18" s="85" customFormat="1" ht="21" customHeight="1">
      <c r="B89" s="93"/>
      <c r="D89" s="73" t="s">
        <v>111</v>
      </c>
      <c r="N89" s="175">
        <f>ROUNDUP($N$141,2)</f>
        <v>0</v>
      </c>
      <c r="O89" s="189"/>
      <c r="P89" s="189"/>
      <c r="Q89" s="189"/>
      <c r="R89" s="94"/>
    </row>
    <row r="90" spans="2:18" s="85" customFormat="1" ht="21" customHeight="1">
      <c r="B90" s="93"/>
      <c r="D90" s="73" t="s">
        <v>112</v>
      </c>
      <c r="N90" s="175">
        <f>ROUNDUP($N$165,2)</f>
        <v>0</v>
      </c>
      <c r="O90" s="189"/>
      <c r="P90" s="189"/>
      <c r="Q90" s="189"/>
      <c r="R90" s="94"/>
    </row>
    <row r="91" spans="2:18" s="85" customFormat="1" ht="21" customHeight="1">
      <c r="B91" s="93"/>
      <c r="D91" s="73" t="s">
        <v>113</v>
      </c>
      <c r="N91" s="175">
        <f>ROUNDUP($N$182,2)</f>
        <v>0</v>
      </c>
      <c r="O91" s="189"/>
      <c r="P91" s="189"/>
      <c r="Q91" s="189"/>
      <c r="R91" s="94"/>
    </row>
    <row r="92" spans="2:18" s="85" customFormat="1" ht="21" customHeight="1">
      <c r="B92" s="93"/>
      <c r="D92" s="73" t="s">
        <v>114</v>
      </c>
      <c r="N92" s="175">
        <f>ROUNDUP($N$209,2)</f>
        <v>0</v>
      </c>
      <c r="O92" s="189"/>
      <c r="P92" s="189"/>
      <c r="Q92" s="189"/>
      <c r="R92" s="94"/>
    </row>
    <row r="93" spans="2:18" s="85" customFormat="1" ht="21" customHeight="1">
      <c r="B93" s="93"/>
      <c r="D93" s="73" t="s">
        <v>115</v>
      </c>
      <c r="N93" s="175">
        <f>ROUNDUP($N$228,2)</f>
        <v>0</v>
      </c>
      <c r="O93" s="189"/>
      <c r="P93" s="189"/>
      <c r="Q93" s="189"/>
      <c r="R93" s="94"/>
    </row>
    <row r="94" spans="2:18" s="85" customFormat="1" ht="21" customHeight="1">
      <c r="B94" s="93"/>
      <c r="D94" s="73" t="s">
        <v>116</v>
      </c>
      <c r="N94" s="175">
        <f>ROUNDUP($N$232,2)</f>
        <v>0</v>
      </c>
      <c r="O94" s="189"/>
      <c r="P94" s="189"/>
      <c r="Q94" s="189"/>
      <c r="R94" s="94"/>
    </row>
    <row r="95" spans="2:18" s="85" customFormat="1" ht="21" customHeight="1">
      <c r="B95" s="93"/>
      <c r="D95" s="73" t="s">
        <v>117</v>
      </c>
      <c r="N95" s="175">
        <f>ROUNDUP($N$251,2)</f>
        <v>0</v>
      </c>
      <c r="O95" s="189"/>
      <c r="P95" s="189"/>
      <c r="Q95" s="189"/>
      <c r="R95" s="94"/>
    </row>
    <row r="96" spans="2:18" s="85" customFormat="1" ht="15.75" customHeight="1">
      <c r="B96" s="93"/>
      <c r="D96" s="73" t="s">
        <v>118</v>
      </c>
      <c r="N96" s="175">
        <f>ROUNDUP($N$279,2)</f>
        <v>0</v>
      </c>
      <c r="O96" s="189"/>
      <c r="P96" s="189"/>
      <c r="Q96" s="189"/>
      <c r="R96" s="94"/>
    </row>
    <row r="97" spans="2:18" s="89" customFormat="1" ht="25.5" customHeight="1">
      <c r="B97" s="90"/>
      <c r="D97" s="91" t="s">
        <v>119</v>
      </c>
      <c r="N97" s="188">
        <f>ROUNDUP($N$286,2)</f>
        <v>0</v>
      </c>
      <c r="O97" s="189"/>
      <c r="P97" s="189"/>
      <c r="Q97" s="189"/>
      <c r="R97" s="92"/>
    </row>
    <row r="98" spans="2:18" s="85" customFormat="1" ht="21" customHeight="1">
      <c r="B98" s="93"/>
      <c r="D98" s="73" t="s">
        <v>120</v>
      </c>
      <c r="N98" s="175">
        <f>ROUNDUP($N$287,2)</f>
        <v>0</v>
      </c>
      <c r="O98" s="189"/>
      <c r="P98" s="189"/>
      <c r="Q98" s="189"/>
      <c r="R98" s="94"/>
    </row>
    <row r="99" spans="2:18" s="85" customFormat="1" ht="21" customHeight="1">
      <c r="B99" s="93"/>
      <c r="D99" s="73" t="s">
        <v>121</v>
      </c>
      <c r="N99" s="175">
        <f>ROUNDUP($N$298,2)</f>
        <v>0</v>
      </c>
      <c r="O99" s="189"/>
      <c r="P99" s="189"/>
      <c r="Q99" s="189"/>
      <c r="R99" s="94"/>
    </row>
    <row r="100" spans="2:18" s="85" customFormat="1" ht="21" customHeight="1">
      <c r="B100" s="93"/>
      <c r="D100" s="73" t="s">
        <v>122</v>
      </c>
      <c r="N100" s="175">
        <f>ROUNDUP($N$303,2)</f>
        <v>0</v>
      </c>
      <c r="O100" s="189"/>
      <c r="P100" s="189"/>
      <c r="Q100" s="189"/>
      <c r="R100" s="94"/>
    </row>
    <row r="101" spans="2:18" s="85" customFormat="1" ht="21" customHeight="1">
      <c r="B101" s="93"/>
      <c r="D101" s="73" t="s">
        <v>123</v>
      </c>
      <c r="N101" s="175">
        <f>ROUNDUP($N$320,2)</f>
        <v>0</v>
      </c>
      <c r="O101" s="189"/>
      <c r="P101" s="189"/>
      <c r="Q101" s="189"/>
      <c r="R101" s="94"/>
    </row>
    <row r="102" spans="2:18" s="85" customFormat="1" ht="21" customHeight="1">
      <c r="B102" s="93"/>
      <c r="D102" s="73" t="s">
        <v>124</v>
      </c>
      <c r="N102" s="175">
        <f>ROUNDUP($N$323,2)</f>
        <v>0</v>
      </c>
      <c r="O102" s="189"/>
      <c r="P102" s="189"/>
      <c r="Q102" s="189"/>
      <c r="R102" s="94"/>
    </row>
    <row r="103" spans="2:18" s="85" customFormat="1" ht="21" customHeight="1">
      <c r="B103" s="93"/>
      <c r="D103" s="73" t="s">
        <v>125</v>
      </c>
      <c r="N103" s="175">
        <f>ROUNDUP($N$326,2)</f>
        <v>0</v>
      </c>
      <c r="O103" s="189"/>
      <c r="P103" s="189"/>
      <c r="Q103" s="189"/>
      <c r="R103" s="94"/>
    </row>
    <row r="104" spans="2:18" s="85" customFormat="1" ht="21" customHeight="1">
      <c r="B104" s="93"/>
      <c r="D104" s="73" t="s">
        <v>126</v>
      </c>
      <c r="N104" s="175">
        <f>ROUNDUP($N$328,2)</f>
        <v>0</v>
      </c>
      <c r="O104" s="189"/>
      <c r="P104" s="189"/>
      <c r="Q104" s="189"/>
      <c r="R104" s="94"/>
    </row>
    <row r="105" spans="2:18" s="85" customFormat="1" ht="21" customHeight="1">
      <c r="B105" s="93"/>
      <c r="D105" s="73" t="s">
        <v>127</v>
      </c>
      <c r="N105" s="175">
        <f>ROUNDUP($N$338,2)</f>
        <v>0</v>
      </c>
      <c r="O105" s="189"/>
      <c r="P105" s="189"/>
      <c r="Q105" s="189"/>
      <c r="R105" s="94"/>
    </row>
    <row r="106" spans="2:18" s="85" customFormat="1" ht="21" customHeight="1">
      <c r="B106" s="93"/>
      <c r="D106" s="73" t="s">
        <v>128</v>
      </c>
      <c r="N106" s="175">
        <f>ROUNDUP($N$343,2)</f>
        <v>0</v>
      </c>
      <c r="O106" s="189"/>
      <c r="P106" s="189"/>
      <c r="Q106" s="189"/>
      <c r="R106" s="94"/>
    </row>
    <row r="107" spans="2:18" s="85" customFormat="1" ht="21" customHeight="1">
      <c r="B107" s="93"/>
      <c r="D107" s="73" t="s">
        <v>129</v>
      </c>
      <c r="N107" s="175">
        <f>ROUNDUP($N$353,2)</f>
        <v>0</v>
      </c>
      <c r="O107" s="189"/>
      <c r="P107" s="189"/>
      <c r="Q107" s="189"/>
      <c r="R107" s="94"/>
    </row>
    <row r="108" spans="2:18" s="85" customFormat="1" ht="21" customHeight="1">
      <c r="B108" s="93"/>
      <c r="D108" s="73" t="s">
        <v>130</v>
      </c>
      <c r="N108" s="175">
        <f>ROUNDUP($N$357,2)</f>
        <v>0</v>
      </c>
      <c r="O108" s="189"/>
      <c r="P108" s="189"/>
      <c r="Q108" s="189"/>
      <c r="R108" s="94"/>
    </row>
    <row r="109" spans="2:18" s="85" customFormat="1" ht="21" customHeight="1">
      <c r="B109" s="93"/>
      <c r="D109" s="73" t="s">
        <v>131</v>
      </c>
      <c r="N109" s="175">
        <f>ROUNDUP($N$374,2)</f>
        <v>0</v>
      </c>
      <c r="O109" s="189"/>
      <c r="P109" s="189"/>
      <c r="Q109" s="189"/>
      <c r="R109" s="94"/>
    </row>
    <row r="110" spans="2:18" s="85" customFormat="1" ht="21" customHeight="1">
      <c r="B110" s="93"/>
      <c r="D110" s="73" t="s">
        <v>132</v>
      </c>
      <c r="N110" s="175">
        <f>ROUNDUP($N$381,2)</f>
        <v>0</v>
      </c>
      <c r="O110" s="189"/>
      <c r="P110" s="189"/>
      <c r="Q110" s="189"/>
      <c r="R110" s="94"/>
    </row>
    <row r="111" spans="2:18" s="85" customFormat="1" ht="21" customHeight="1">
      <c r="B111" s="93"/>
      <c r="D111" s="73" t="s">
        <v>133</v>
      </c>
      <c r="N111" s="175">
        <f>ROUNDUP($N$403,2)</f>
        <v>0</v>
      </c>
      <c r="O111" s="189"/>
      <c r="P111" s="189"/>
      <c r="Q111" s="189"/>
      <c r="R111" s="94"/>
    </row>
    <row r="112" spans="2:18" s="85" customFormat="1" ht="21" customHeight="1">
      <c r="B112" s="93"/>
      <c r="D112" s="73" t="s">
        <v>134</v>
      </c>
      <c r="N112" s="175">
        <f>ROUNDUP($N$407,2)</f>
        <v>0</v>
      </c>
      <c r="O112" s="189"/>
      <c r="P112" s="189"/>
      <c r="Q112" s="189"/>
      <c r="R112" s="94"/>
    </row>
    <row r="113" spans="2:18" s="89" customFormat="1" ht="22.5" customHeight="1">
      <c r="B113" s="90"/>
      <c r="D113" s="91" t="s">
        <v>135</v>
      </c>
      <c r="N113" s="190">
        <f>$N$411</f>
        <v>0</v>
      </c>
      <c r="O113" s="189"/>
      <c r="P113" s="189"/>
      <c r="Q113" s="189"/>
      <c r="R113" s="92"/>
    </row>
    <row r="114" spans="2:18" s="6" customFormat="1" ht="22.5" customHeight="1">
      <c r="B114" s="21"/>
      <c r="R114" s="22"/>
    </row>
    <row r="115" spans="2:21" s="6" customFormat="1" ht="30" customHeight="1">
      <c r="B115" s="21"/>
      <c r="C115" s="60" t="s">
        <v>136</v>
      </c>
      <c r="N115" s="177">
        <f>ROUNDUP($N$116+$N$117+$N$118+$N$119+$N$120+$N$121,2)</f>
        <v>0</v>
      </c>
      <c r="O115" s="151"/>
      <c r="P115" s="151"/>
      <c r="Q115" s="151"/>
      <c r="R115" s="22"/>
      <c r="T115" s="95"/>
      <c r="U115" s="96" t="s">
        <v>40</v>
      </c>
    </row>
    <row r="116" spans="2:62" s="6" customFormat="1" ht="18.75" customHeight="1">
      <c r="B116" s="21"/>
      <c r="D116" s="176" t="s">
        <v>137</v>
      </c>
      <c r="E116" s="151"/>
      <c r="F116" s="151"/>
      <c r="G116" s="151"/>
      <c r="H116" s="151"/>
      <c r="N116" s="174">
        <f>ROUNDUP($N$87*$T$116,2)</f>
        <v>0</v>
      </c>
      <c r="O116" s="151"/>
      <c r="P116" s="151"/>
      <c r="Q116" s="151"/>
      <c r="R116" s="22"/>
      <c r="T116" s="97"/>
      <c r="U116" s="98" t="s">
        <v>41</v>
      </c>
      <c r="AY116" s="6" t="s">
        <v>138</v>
      </c>
      <c r="BE116" s="77">
        <f>IF($U$116="základní",$N$116,0)</f>
        <v>0</v>
      </c>
      <c r="BF116" s="77">
        <f>IF($U$116="snížená",$N$116,0)</f>
        <v>0</v>
      </c>
      <c r="BG116" s="77">
        <f>IF($U$116="zákl. přenesená",$N$116,0)</f>
        <v>0</v>
      </c>
      <c r="BH116" s="77">
        <f>IF($U$116="sníž. přenesená",$N$116,0)</f>
        <v>0</v>
      </c>
      <c r="BI116" s="77">
        <f>IF($U$116="nulová",$N$116,0)</f>
        <v>0</v>
      </c>
      <c r="BJ116" s="6" t="s">
        <v>17</v>
      </c>
    </row>
    <row r="117" spans="2:62" s="6" customFormat="1" ht="18.75" customHeight="1">
      <c r="B117" s="21"/>
      <c r="D117" s="176" t="s">
        <v>139</v>
      </c>
      <c r="E117" s="151"/>
      <c r="F117" s="151"/>
      <c r="G117" s="151"/>
      <c r="H117" s="151"/>
      <c r="N117" s="174">
        <f>ROUNDUP($N$87*$T$117,2)</f>
        <v>0</v>
      </c>
      <c r="O117" s="151"/>
      <c r="P117" s="151"/>
      <c r="Q117" s="151"/>
      <c r="R117" s="22"/>
      <c r="T117" s="97"/>
      <c r="U117" s="98" t="s">
        <v>41</v>
      </c>
      <c r="AY117" s="6" t="s">
        <v>138</v>
      </c>
      <c r="BE117" s="77">
        <f>IF($U$117="základní",$N$117,0)</f>
        <v>0</v>
      </c>
      <c r="BF117" s="77">
        <f>IF($U$117="snížená",$N$117,0)</f>
        <v>0</v>
      </c>
      <c r="BG117" s="77">
        <f>IF($U$117="zákl. přenesená",$N$117,0)</f>
        <v>0</v>
      </c>
      <c r="BH117" s="77">
        <f>IF($U$117="sníž. přenesená",$N$117,0)</f>
        <v>0</v>
      </c>
      <c r="BI117" s="77">
        <f>IF($U$117="nulová",$N$117,0)</f>
        <v>0</v>
      </c>
      <c r="BJ117" s="6" t="s">
        <v>17</v>
      </c>
    </row>
    <row r="118" spans="2:62" s="6" customFormat="1" ht="18.75" customHeight="1">
      <c r="B118" s="21"/>
      <c r="D118" s="176" t="s">
        <v>140</v>
      </c>
      <c r="E118" s="151"/>
      <c r="F118" s="151"/>
      <c r="G118" s="151"/>
      <c r="H118" s="151"/>
      <c r="N118" s="174">
        <f>ROUNDUP($N$87*$T$118,2)</f>
        <v>0</v>
      </c>
      <c r="O118" s="151"/>
      <c r="P118" s="151"/>
      <c r="Q118" s="151"/>
      <c r="R118" s="22"/>
      <c r="T118" s="97"/>
      <c r="U118" s="98" t="s">
        <v>41</v>
      </c>
      <c r="AY118" s="6" t="s">
        <v>138</v>
      </c>
      <c r="BE118" s="77">
        <f>IF($U$118="základní",$N$118,0)</f>
        <v>0</v>
      </c>
      <c r="BF118" s="77">
        <f>IF($U$118="snížená",$N$118,0)</f>
        <v>0</v>
      </c>
      <c r="BG118" s="77">
        <f>IF($U$118="zákl. přenesená",$N$118,0)</f>
        <v>0</v>
      </c>
      <c r="BH118" s="77">
        <f>IF($U$118="sníž. přenesená",$N$118,0)</f>
        <v>0</v>
      </c>
      <c r="BI118" s="77">
        <f>IF($U$118="nulová",$N$118,0)</f>
        <v>0</v>
      </c>
      <c r="BJ118" s="6" t="s">
        <v>17</v>
      </c>
    </row>
    <row r="119" spans="2:62" s="6" customFormat="1" ht="18.75" customHeight="1">
      <c r="B119" s="21"/>
      <c r="D119" s="176" t="s">
        <v>141</v>
      </c>
      <c r="E119" s="151"/>
      <c r="F119" s="151"/>
      <c r="G119" s="151"/>
      <c r="H119" s="151"/>
      <c r="N119" s="174">
        <f>ROUNDUP($N$87*$T$119,2)</f>
        <v>0</v>
      </c>
      <c r="O119" s="151"/>
      <c r="P119" s="151"/>
      <c r="Q119" s="151"/>
      <c r="R119" s="22"/>
      <c r="T119" s="97"/>
      <c r="U119" s="98" t="s">
        <v>41</v>
      </c>
      <c r="AY119" s="6" t="s">
        <v>138</v>
      </c>
      <c r="BE119" s="77">
        <f>IF($U$119="základní",$N$119,0)</f>
        <v>0</v>
      </c>
      <c r="BF119" s="77">
        <f>IF($U$119="snížená",$N$119,0)</f>
        <v>0</v>
      </c>
      <c r="BG119" s="77">
        <f>IF($U$119="zákl. přenesená",$N$119,0)</f>
        <v>0</v>
      </c>
      <c r="BH119" s="77">
        <f>IF($U$119="sníž. přenesená",$N$119,0)</f>
        <v>0</v>
      </c>
      <c r="BI119" s="77">
        <f>IF($U$119="nulová",$N$119,0)</f>
        <v>0</v>
      </c>
      <c r="BJ119" s="6" t="s">
        <v>17</v>
      </c>
    </row>
    <row r="120" spans="2:62" s="6" customFormat="1" ht="18.75" customHeight="1">
      <c r="B120" s="21"/>
      <c r="D120" s="176" t="s">
        <v>142</v>
      </c>
      <c r="E120" s="151"/>
      <c r="F120" s="151"/>
      <c r="G120" s="151"/>
      <c r="H120" s="151"/>
      <c r="N120" s="174">
        <f>ROUNDUP($N$87*$T$120,2)</f>
        <v>0</v>
      </c>
      <c r="O120" s="151"/>
      <c r="P120" s="151"/>
      <c r="Q120" s="151"/>
      <c r="R120" s="22"/>
      <c r="T120" s="97"/>
      <c r="U120" s="98" t="s">
        <v>41</v>
      </c>
      <c r="AY120" s="6" t="s">
        <v>138</v>
      </c>
      <c r="BE120" s="77">
        <f>IF($U$120="základní",$N$120,0)</f>
        <v>0</v>
      </c>
      <c r="BF120" s="77">
        <f>IF($U$120="snížená",$N$120,0)</f>
        <v>0</v>
      </c>
      <c r="BG120" s="77">
        <f>IF($U$120="zákl. přenesená",$N$120,0)</f>
        <v>0</v>
      </c>
      <c r="BH120" s="77">
        <f>IF($U$120="sníž. přenesená",$N$120,0)</f>
        <v>0</v>
      </c>
      <c r="BI120" s="77">
        <f>IF($U$120="nulová",$N$120,0)</f>
        <v>0</v>
      </c>
      <c r="BJ120" s="6" t="s">
        <v>17</v>
      </c>
    </row>
    <row r="121" spans="2:62" s="6" customFormat="1" ht="18.75" customHeight="1">
      <c r="B121" s="21"/>
      <c r="D121" s="73" t="s">
        <v>143</v>
      </c>
      <c r="N121" s="174">
        <f>ROUNDUP($N$87*$T$121,2)</f>
        <v>0</v>
      </c>
      <c r="O121" s="151"/>
      <c r="P121" s="151"/>
      <c r="Q121" s="151"/>
      <c r="R121" s="22"/>
      <c r="T121" s="99"/>
      <c r="U121" s="100" t="s">
        <v>41</v>
      </c>
      <c r="AY121" s="6" t="s">
        <v>144</v>
      </c>
      <c r="BE121" s="77">
        <f>IF($U$121="základní",$N$121,0)</f>
        <v>0</v>
      </c>
      <c r="BF121" s="77">
        <f>IF($U$121="snížená",$N$121,0)</f>
        <v>0</v>
      </c>
      <c r="BG121" s="77">
        <f>IF($U$121="zákl. přenesená",$N$121,0)</f>
        <v>0</v>
      </c>
      <c r="BH121" s="77">
        <f>IF($U$121="sníž. přenesená",$N$121,0)</f>
        <v>0</v>
      </c>
      <c r="BI121" s="77">
        <f>IF($U$121="nulová",$N$121,0)</f>
        <v>0</v>
      </c>
      <c r="BJ121" s="6" t="s">
        <v>17</v>
      </c>
    </row>
    <row r="122" spans="2:18" s="6" customFormat="1" ht="14.25" customHeight="1">
      <c r="B122" s="21"/>
      <c r="R122" s="22"/>
    </row>
    <row r="123" spans="2:18" s="6" customFormat="1" ht="30" customHeight="1">
      <c r="B123" s="21"/>
      <c r="C123" s="84" t="s">
        <v>100</v>
      </c>
      <c r="D123" s="30"/>
      <c r="E123" s="30"/>
      <c r="F123" s="30"/>
      <c r="G123" s="30"/>
      <c r="H123" s="30"/>
      <c r="I123" s="30"/>
      <c r="J123" s="30"/>
      <c r="K123" s="30"/>
      <c r="L123" s="179">
        <f>ROUNDUP(SUM($N$87+$N$115),2)</f>
        <v>0</v>
      </c>
      <c r="M123" s="180"/>
      <c r="N123" s="180"/>
      <c r="O123" s="180"/>
      <c r="P123" s="180"/>
      <c r="Q123" s="180"/>
      <c r="R123" s="22"/>
    </row>
    <row r="124" spans="2:18" s="6" customFormat="1" ht="7.5" customHeight="1"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5"/>
    </row>
    <row r="128" spans="2:18" s="6" customFormat="1" ht="7.5" customHeight="1"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8"/>
    </row>
    <row r="129" spans="2:18" s="6" customFormat="1" ht="37.5" customHeight="1">
      <c r="B129" s="21"/>
      <c r="C129" s="149" t="s">
        <v>145</v>
      </c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22"/>
    </row>
    <row r="130" spans="2:18" s="6" customFormat="1" ht="7.5" customHeight="1">
      <c r="B130" s="21"/>
      <c r="R130" s="22"/>
    </row>
    <row r="131" spans="2:18" s="6" customFormat="1" ht="15" customHeight="1">
      <c r="B131" s="21"/>
      <c r="C131" s="14" t="s">
        <v>14</v>
      </c>
      <c r="F131" s="153" t="str">
        <f>$F$6</f>
        <v>1308 - Stavební úpravy MŠ Kmochova - přístavba objektu</v>
      </c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R131" s="22"/>
    </row>
    <row r="132" spans="2:18" s="6" customFormat="1" ht="7.5" customHeight="1">
      <c r="B132" s="21"/>
      <c r="R132" s="22"/>
    </row>
    <row r="133" spans="2:18" s="6" customFormat="1" ht="18.75" customHeight="1">
      <c r="B133" s="21"/>
      <c r="C133" s="15" t="s">
        <v>18</v>
      </c>
      <c r="F133" s="16" t="str">
        <f>$F$8</f>
        <v>Kolín</v>
      </c>
      <c r="K133" s="15" t="s">
        <v>20</v>
      </c>
      <c r="M133" s="186" t="str">
        <f>IF($O$8="","",$O$8)</f>
        <v>29.04.2013</v>
      </c>
      <c r="N133" s="151"/>
      <c r="O133" s="151"/>
      <c r="P133" s="151"/>
      <c r="R133" s="22"/>
    </row>
    <row r="134" spans="2:18" s="6" customFormat="1" ht="7.5" customHeight="1">
      <c r="B134" s="21"/>
      <c r="R134" s="22"/>
    </row>
    <row r="135" spans="2:18" s="6" customFormat="1" ht="15.75" customHeight="1">
      <c r="B135" s="21"/>
      <c r="C135" s="15" t="s">
        <v>24</v>
      </c>
      <c r="F135" s="16" t="str">
        <f>$E$11</f>
        <v>Město Kolín, Karlovo nám. 78, 280 02 Kolín 1</v>
      </c>
      <c r="K135" s="15" t="s">
        <v>30</v>
      </c>
      <c r="M135" s="164" t="str">
        <f>$E$17</f>
        <v>Ing. Karel Vrátný, Rubešova 60, 280 02 Kolín 1</v>
      </c>
      <c r="N135" s="151"/>
      <c r="O135" s="151"/>
      <c r="P135" s="151"/>
      <c r="Q135" s="151"/>
      <c r="R135" s="22"/>
    </row>
    <row r="136" spans="2:18" s="6" customFormat="1" ht="15" customHeight="1">
      <c r="B136" s="21"/>
      <c r="C136" s="15" t="s">
        <v>28</v>
      </c>
      <c r="F136" s="16" t="str">
        <f>IF($E$14="","",$E$14)</f>
        <v>Vyplň údaj</v>
      </c>
      <c r="K136" s="15" t="s">
        <v>35</v>
      </c>
      <c r="M136" s="164" t="str">
        <f>$E$20</f>
        <v>Alena Vrátná, Kolín</v>
      </c>
      <c r="N136" s="151"/>
      <c r="O136" s="151"/>
      <c r="P136" s="151"/>
      <c r="Q136" s="151"/>
      <c r="R136" s="22"/>
    </row>
    <row r="137" spans="2:18" s="6" customFormat="1" ht="11.25" customHeight="1">
      <c r="B137" s="21"/>
      <c r="R137" s="22"/>
    </row>
    <row r="138" spans="2:27" s="101" customFormat="1" ht="30" customHeight="1">
      <c r="B138" s="102"/>
      <c r="C138" s="103" t="s">
        <v>146</v>
      </c>
      <c r="D138" s="104" t="s">
        <v>147</v>
      </c>
      <c r="E138" s="104" t="s">
        <v>58</v>
      </c>
      <c r="F138" s="191" t="s">
        <v>148</v>
      </c>
      <c r="G138" s="192"/>
      <c r="H138" s="192"/>
      <c r="I138" s="192"/>
      <c r="J138" s="104" t="s">
        <v>149</v>
      </c>
      <c r="K138" s="104" t="s">
        <v>150</v>
      </c>
      <c r="L138" s="191" t="s">
        <v>151</v>
      </c>
      <c r="M138" s="192"/>
      <c r="N138" s="191" t="s">
        <v>152</v>
      </c>
      <c r="O138" s="192"/>
      <c r="P138" s="192"/>
      <c r="Q138" s="193"/>
      <c r="R138" s="105"/>
      <c r="T138" s="55" t="s">
        <v>153</v>
      </c>
      <c r="U138" s="56" t="s">
        <v>40</v>
      </c>
      <c r="V138" s="56" t="s">
        <v>154</v>
      </c>
      <c r="W138" s="56" t="s">
        <v>155</v>
      </c>
      <c r="X138" s="56" t="s">
        <v>156</v>
      </c>
      <c r="Y138" s="56" t="s">
        <v>157</v>
      </c>
      <c r="Z138" s="56" t="s">
        <v>158</v>
      </c>
      <c r="AA138" s="57" t="s">
        <v>159</v>
      </c>
    </row>
    <row r="139" spans="2:63" s="6" customFormat="1" ht="30" customHeight="1">
      <c r="B139" s="21"/>
      <c r="C139" s="60" t="s">
        <v>104</v>
      </c>
      <c r="N139" s="208">
        <f>$BK$139</f>
        <v>0</v>
      </c>
      <c r="O139" s="151"/>
      <c r="P139" s="151"/>
      <c r="Q139" s="151"/>
      <c r="R139" s="22"/>
      <c r="T139" s="59"/>
      <c r="U139" s="35"/>
      <c r="V139" s="35"/>
      <c r="W139" s="106">
        <f>$W$140+$W$286+$W$411</f>
        <v>648.5613890000001</v>
      </c>
      <c r="X139" s="35"/>
      <c r="Y139" s="106">
        <f>$Y$140+$Y$286+$Y$411</f>
        <v>83.23803341000001</v>
      </c>
      <c r="Z139" s="35"/>
      <c r="AA139" s="107">
        <f>$AA$140+$AA$286+$AA$411</f>
        <v>32.224639999999994</v>
      </c>
      <c r="AT139" s="6" t="s">
        <v>75</v>
      </c>
      <c r="AU139" s="6" t="s">
        <v>109</v>
      </c>
      <c r="BK139" s="108">
        <f>$BK$140+$BK$286+$BK$411</f>
        <v>0</v>
      </c>
    </row>
    <row r="140" spans="2:63" s="109" customFormat="1" ht="37.5" customHeight="1">
      <c r="B140" s="110"/>
      <c r="D140" s="111" t="s">
        <v>110</v>
      </c>
      <c r="N140" s="190">
        <f>$BK$140</f>
        <v>0</v>
      </c>
      <c r="O140" s="209"/>
      <c r="P140" s="209"/>
      <c r="Q140" s="209"/>
      <c r="R140" s="113"/>
      <c r="T140" s="114"/>
      <c r="W140" s="115">
        <f>$W$141+$W$165+$W$182+$W$209+$W$228+$W$232+$W$251</f>
        <v>464.82377800000006</v>
      </c>
      <c r="Y140" s="115">
        <f>$Y$141+$Y$165+$Y$182+$Y$209+$Y$228+$Y$232+$Y$251</f>
        <v>78.58447679000001</v>
      </c>
      <c r="AA140" s="116">
        <f>$AA$141+$AA$165+$AA$182+$AA$209+$AA$228+$AA$232+$AA$251</f>
        <v>32.19264</v>
      </c>
      <c r="AR140" s="112" t="s">
        <v>17</v>
      </c>
      <c r="AT140" s="112" t="s">
        <v>75</v>
      </c>
      <c r="AU140" s="112" t="s">
        <v>76</v>
      </c>
      <c r="AY140" s="112" t="s">
        <v>160</v>
      </c>
      <c r="BK140" s="117">
        <f>$BK$141+$BK$165+$BK$182+$BK$209+$BK$228+$BK$232+$BK$251</f>
        <v>0</v>
      </c>
    </row>
    <row r="141" spans="2:63" s="109" customFormat="1" ht="21" customHeight="1">
      <c r="B141" s="110"/>
      <c r="D141" s="118" t="s">
        <v>111</v>
      </c>
      <c r="N141" s="210">
        <f>$BK$141</f>
        <v>0</v>
      </c>
      <c r="O141" s="209"/>
      <c r="P141" s="209"/>
      <c r="Q141" s="209"/>
      <c r="R141" s="113"/>
      <c r="T141" s="114"/>
      <c r="W141" s="115">
        <f>SUM($W$142:$W$164)</f>
        <v>67.599044</v>
      </c>
      <c r="Y141" s="115">
        <f>SUM($Y$142:$Y$164)</f>
        <v>0.00015</v>
      </c>
      <c r="AA141" s="116">
        <f>SUM($AA$142:$AA$164)</f>
        <v>6.0509</v>
      </c>
      <c r="AR141" s="112" t="s">
        <v>17</v>
      </c>
      <c r="AT141" s="112" t="s">
        <v>75</v>
      </c>
      <c r="AU141" s="112" t="s">
        <v>17</v>
      </c>
      <c r="AY141" s="112" t="s">
        <v>160</v>
      </c>
      <c r="BK141" s="117">
        <f>SUM($BK$142:$BK$164)</f>
        <v>0</v>
      </c>
    </row>
    <row r="142" spans="2:64" s="6" customFormat="1" ht="27" customHeight="1">
      <c r="B142" s="21"/>
      <c r="C142" s="119" t="s">
        <v>17</v>
      </c>
      <c r="D142" s="119" t="s">
        <v>161</v>
      </c>
      <c r="E142" s="120" t="s">
        <v>162</v>
      </c>
      <c r="F142" s="194" t="s">
        <v>163</v>
      </c>
      <c r="G142" s="195"/>
      <c r="H142" s="195"/>
      <c r="I142" s="195"/>
      <c r="J142" s="121" t="s">
        <v>164</v>
      </c>
      <c r="K142" s="122">
        <v>13.58</v>
      </c>
      <c r="L142" s="196">
        <v>0</v>
      </c>
      <c r="M142" s="195"/>
      <c r="N142" s="197">
        <f>ROUND($L$142*$K$142,2)</f>
        <v>0</v>
      </c>
      <c r="O142" s="195"/>
      <c r="P142" s="195"/>
      <c r="Q142" s="195"/>
      <c r="R142" s="22"/>
      <c r="T142" s="123"/>
      <c r="U142" s="28" t="s">
        <v>41</v>
      </c>
      <c r="V142" s="124">
        <v>0.235</v>
      </c>
      <c r="W142" s="124">
        <f>$V$142*$K$142</f>
        <v>3.1913</v>
      </c>
      <c r="X142" s="124">
        <v>0</v>
      </c>
      <c r="Y142" s="124">
        <f>$X$142*$K$142</f>
        <v>0</v>
      </c>
      <c r="Z142" s="124">
        <v>0.295</v>
      </c>
      <c r="AA142" s="125">
        <f>$Z$142*$K$142</f>
        <v>4.0061</v>
      </c>
      <c r="AR142" s="6" t="s">
        <v>165</v>
      </c>
      <c r="AT142" s="6" t="s">
        <v>161</v>
      </c>
      <c r="AU142" s="6" t="s">
        <v>102</v>
      </c>
      <c r="AY142" s="6" t="s">
        <v>160</v>
      </c>
      <c r="BE142" s="77">
        <f>IF($U$142="základní",$N$142,0)</f>
        <v>0</v>
      </c>
      <c r="BF142" s="77">
        <f>IF($U$142="snížená",$N$142,0)</f>
        <v>0</v>
      </c>
      <c r="BG142" s="77">
        <f>IF($U$142="zákl. přenesená",$N$142,0)</f>
        <v>0</v>
      </c>
      <c r="BH142" s="77">
        <f>IF($U$142="sníž. přenesená",$N$142,0)</f>
        <v>0</v>
      </c>
      <c r="BI142" s="77">
        <f>IF($U$142="nulová",$N$142,0)</f>
        <v>0</v>
      </c>
      <c r="BJ142" s="6" t="s">
        <v>17</v>
      </c>
      <c r="BK142" s="77">
        <f>ROUND($L$142*$K$142,2)</f>
        <v>0</v>
      </c>
      <c r="BL142" s="6" t="s">
        <v>165</v>
      </c>
    </row>
    <row r="143" spans="2:51" s="6" customFormat="1" ht="15.75" customHeight="1">
      <c r="B143" s="126"/>
      <c r="E143" s="127"/>
      <c r="F143" s="198" t="s">
        <v>166</v>
      </c>
      <c r="G143" s="199"/>
      <c r="H143" s="199"/>
      <c r="I143" s="199"/>
      <c r="K143" s="128">
        <v>13.58</v>
      </c>
      <c r="R143" s="129"/>
      <c r="T143" s="130"/>
      <c r="AA143" s="131"/>
      <c r="AT143" s="127" t="s">
        <v>167</v>
      </c>
      <c r="AU143" s="127" t="s">
        <v>102</v>
      </c>
      <c r="AV143" s="127" t="s">
        <v>102</v>
      </c>
      <c r="AW143" s="127" t="s">
        <v>109</v>
      </c>
      <c r="AX143" s="127" t="s">
        <v>17</v>
      </c>
      <c r="AY143" s="127" t="s">
        <v>160</v>
      </c>
    </row>
    <row r="144" spans="2:64" s="6" customFormat="1" ht="27" customHeight="1">
      <c r="B144" s="21"/>
      <c r="C144" s="119" t="s">
        <v>102</v>
      </c>
      <c r="D144" s="119" t="s">
        <v>161</v>
      </c>
      <c r="E144" s="120" t="s">
        <v>168</v>
      </c>
      <c r="F144" s="194" t="s">
        <v>169</v>
      </c>
      <c r="G144" s="195"/>
      <c r="H144" s="195"/>
      <c r="I144" s="195"/>
      <c r="J144" s="121" t="s">
        <v>164</v>
      </c>
      <c r="K144" s="122">
        <v>11.78</v>
      </c>
      <c r="L144" s="196">
        <v>0</v>
      </c>
      <c r="M144" s="195"/>
      <c r="N144" s="197">
        <f>ROUND($L$144*$K$144,2)</f>
        <v>0</v>
      </c>
      <c r="O144" s="195"/>
      <c r="P144" s="195"/>
      <c r="Q144" s="195"/>
      <c r="R144" s="22"/>
      <c r="T144" s="123"/>
      <c r="U144" s="28" t="s">
        <v>41</v>
      </c>
      <c r="V144" s="124">
        <v>0.517</v>
      </c>
      <c r="W144" s="124">
        <f>$V$144*$K$144</f>
        <v>6.09026</v>
      </c>
      <c r="X144" s="124">
        <v>0</v>
      </c>
      <c r="Y144" s="124">
        <f>$X$144*$K$144</f>
        <v>0</v>
      </c>
      <c r="Z144" s="124">
        <v>0.16</v>
      </c>
      <c r="AA144" s="125">
        <f>$Z$144*$K$144</f>
        <v>1.8848</v>
      </c>
      <c r="AR144" s="6" t="s">
        <v>165</v>
      </c>
      <c r="AT144" s="6" t="s">
        <v>161</v>
      </c>
      <c r="AU144" s="6" t="s">
        <v>102</v>
      </c>
      <c r="AY144" s="6" t="s">
        <v>160</v>
      </c>
      <c r="BE144" s="77">
        <f>IF($U$144="základní",$N$144,0)</f>
        <v>0</v>
      </c>
      <c r="BF144" s="77">
        <f>IF($U$144="snížená",$N$144,0)</f>
        <v>0</v>
      </c>
      <c r="BG144" s="77">
        <f>IF($U$144="zákl. přenesená",$N$144,0)</f>
        <v>0</v>
      </c>
      <c r="BH144" s="77">
        <f>IF($U$144="sníž. přenesená",$N$144,0)</f>
        <v>0</v>
      </c>
      <c r="BI144" s="77">
        <f>IF($U$144="nulová",$N$144,0)</f>
        <v>0</v>
      </c>
      <c r="BJ144" s="6" t="s">
        <v>17</v>
      </c>
      <c r="BK144" s="77">
        <f>ROUND($L$144*$K$144,2)</f>
        <v>0</v>
      </c>
      <c r="BL144" s="6" t="s">
        <v>165</v>
      </c>
    </row>
    <row r="145" spans="2:64" s="6" customFormat="1" ht="15.75" customHeight="1">
      <c r="B145" s="21"/>
      <c r="C145" s="119" t="s">
        <v>170</v>
      </c>
      <c r="D145" s="119" t="s">
        <v>161</v>
      </c>
      <c r="E145" s="120" t="s">
        <v>171</v>
      </c>
      <c r="F145" s="194" t="s">
        <v>172</v>
      </c>
      <c r="G145" s="195"/>
      <c r="H145" s="195"/>
      <c r="I145" s="195"/>
      <c r="J145" s="121" t="s">
        <v>173</v>
      </c>
      <c r="K145" s="122">
        <v>4</v>
      </c>
      <c r="L145" s="196">
        <v>0</v>
      </c>
      <c r="M145" s="195"/>
      <c r="N145" s="197">
        <f>ROUND($L$145*$K$145,2)</f>
        <v>0</v>
      </c>
      <c r="O145" s="195"/>
      <c r="P145" s="195"/>
      <c r="Q145" s="195"/>
      <c r="R145" s="22"/>
      <c r="T145" s="123"/>
      <c r="U145" s="28" t="s">
        <v>41</v>
      </c>
      <c r="V145" s="124">
        <v>0.095</v>
      </c>
      <c r="W145" s="124">
        <f>$V$145*$K$145</f>
        <v>0.38</v>
      </c>
      <c r="X145" s="124">
        <v>0</v>
      </c>
      <c r="Y145" s="124">
        <f>$X$145*$K$145</f>
        <v>0</v>
      </c>
      <c r="Z145" s="124">
        <v>0.04</v>
      </c>
      <c r="AA145" s="125">
        <f>$Z$145*$K$145</f>
        <v>0.16</v>
      </c>
      <c r="AR145" s="6" t="s">
        <v>165</v>
      </c>
      <c r="AT145" s="6" t="s">
        <v>161</v>
      </c>
      <c r="AU145" s="6" t="s">
        <v>102</v>
      </c>
      <c r="AY145" s="6" t="s">
        <v>160</v>
      </c>
      <c r="BE145" s="77">
        <f>IF($U$145="základní",$N$145,0)</f>
        <v>0</v>
      </c>
      <c r="BF145" s="77">
        <f>IF($U$145="snížená",$N$145,0)</f>
        <v>0</v>
      </c>
      <c r="BG145" s="77">
        <f>IF($U$145="zákl. přenesená",$N$145,0)</f>
        <v>0</v>
      </c>
      <c r="BH145" s="77">
        <f>IF($U$145="sníž. přenesená",$N$145,0)</f>
        <v>0</v>
      </c>
      <c r="BI145" s="77">
        <f>IF($U$145="nulová",$N$145,0)</f>
        <v>0</v>
      </c>
      <c r="BJ145" s="6" t="s">
        <v>17</v>
      </c>
      <c r="BK145" s="77">
        <f>ROUND($L$145*$K$145,2)</f>
        <v>0</v>
      </c>
      <c r="BL145" s="6" t="s">
        <v>165</v>
      </c>
    </row>
    <row r="146" spans="2:64" s="6" customFormat="1" ht="27" customHeight="1">
      <c r="B146" s="21"/>
      <c r="C146" s="119" t="s">
        <v>165</v>
      </c>
      <c r="D146" s="119" t="s">
        <v>161</v>
      </c>
      <c r="E146" s="120" t="s">
        <v>174</v>
      </c>
      <c r="F146" s="194" t="s">
        <v>175</v>
      </c>
      <c r="G146" s="195"/>
      <c r="H146" s="195"/>
      <c r="I146" s="195"/>
      <c r="J146" s="121" t="s">
        <v>176</v>
      </c>
      <c r="K146" s="122">
        <v>0.36</v>
      </c>
      <c r="L146" s="196">
        <v>0</v>
      </c>
      <c r="M146" s="195"/>
      <c r="N146" s="197">
        <f>ROUND($L$146*$K$146,2)</f>
        <v>0</v>
      </c>
      <c r="O146" s="195"/>
      <c r="P146" s="195"/>
      <c r="Q146" s="195"/>
      <c r="R146" s="22"/>
      <c r="T146" s="123"/>
      <c r="U146" s="28" t="s">
        <v>41</v>
      </c>
      <c r="V146" s="124">
        <v>0.097</v>
      </c>
      <c r="W146" s="124">
        <f>$V$146*$K$146</f>
        <v>0.03492</v>
      </c>
      <c r="X146" s="124">
        <v>0</v>
      </c>
      <c r="Y146" s="124">
        <f>$X$146*$K$146</f>
        <v>0</v>
      </c>
      <c r="Z146" s="124">
        <v>0</v>
      </c>
      <c r="AA146" s="125">
        <f>$Z$146*$K$146</f>
        <v>0</v>
      </c>
      <c r="AR146" s="6" t="s">
        <v>165</v>
      </c>
      <c r="AT146" s="6" t="s">
        <v>161</v>
      </c>
      <c r="AU146" s="6" t="s">
        <v>102</v>
      </c>
      <c r="AY146" s="6" t="s">
        <v>160</v>
      </c>
      <c r="BE146" s="77">
        <f>IF($U$146="základní",$N$146,0)</f>
        <v>0</v>
      </c>
      <c r="BF146" s="77">
        <f>IF($U$146="snížená",$N$146,0)</f>
        <v>0</v>
      </c>
      <c r="BG146" s="77">
        <f>IF($U$146="zákl. přenesená",$N$146,0)</f>
        <v>0</v>
      </c>
      <c r="BH146" s="77">
        <f>IF($U$146="sníž. přenesená",$N$146,0)</f>
        <v>0</v>
      </c>
      <c r="BI146" s="77">
        <f>IF($U$146="nulová",$N$146,0)</f>
        <v>0</v>
      </c>
      <c r="BJ146" s="6" t="s">
        <v>17</v>
      </c>
      <c r="BK146" s="77">
        <f>ROUND($L$146*$K$146,2)</f>
        <v>0</v>
      </c>
      <c r="BL146" s="6" t="s">
        <v>165</v>
      </c>
    </row>
    <row r="147" spans="2:51" s="6" customFormat="1" ht="15.75" customHeight="1">
      <c r="B147" s="126"/>
      <c r="E147" s="127"/>
      <c r="F147" s="198" t="s">
        <v>177</v>
      </c>
      <c r="G147" s="199"/>
      <c r="H147" s="199"/>
      <c r="I147" s="199"/>
      <c r="K147" s="128">
        <v>0.36</v>
      </c>
      <c r="R147" s="129"/>
      <c r="T147" s="130"/>
      <c r="AA147" s="131"/>
      <c r="AT147" s="127" t="s">
        <v>167</v>
      </c>
      <c r="AU147" s="127" t="s">
        <v>102</v>
      </c>
      <c r="AV147" s="127" t="s">
        <v>102</v>
      </c>
      <c r="AW147" s="127" t="s">
        <v>109</v>
      </c>
      <c r="AX147" s="127" t="s">
        <v>17</v>
      </c>
      <c r="AY147" s="127" t="s">
        <v>160</v>
      </c>
    </row>
    <row r="148" spans="2:64" s="6" customFormat="1" ht="27" customHeight="1">
      <c r="B148" s="21"/>
      <c r="C148" s="119" t="s">
        <v>178</v>
      </c>
      <c r="D148" s="119" t="s">
        <v>161</v>
      </c>
      <c r="E148" s="120" t="s">
        <v>179</v>
      </c>
      <c r="F148" s="194" t="s">
        <v>180</v>
      </c>
      <c r="G148" s="195"/>
      <c r="H148" s="195"/>
      <c r="I148" s="195"/>
      <c r="J148" s="121" t="s">
        <v>176</v>
      </c>
      <c r="K148" s="122">
        <v>30.672</v>
      </c>
      <c r="L148" s="196">
        <v>0</v>
      </c>
      <c r="M148" s="195"/>
      <c r="N148" s="197">
        <f>ROUND($L$148*$K$148,2)</f>
        <v>0</v>
      </c>
      <c r="O148" s="195"/>
      <c r="P148" s="195"/>
      <c r="Q148" s="195"/>
      <c r="R148" s="22"/>
      <c r="T148" s="123"/>
      <c r="U148" s="28" t="s">
        <v>41</v>
      </c>
      <c r="V148" s="124">
        <v>0.368</v>
      </c>
      <c r="W148" s="124">
        <f>$V$148*$K$148</f>
        <v>11.287296</v>
      </c>
      <c r="X148" s="124">
        <v>0</v>
      </c>
      <c r="Y148" s="124">
        <f>$X$148*$K$148</f>
        <v>0</v>
      </c>
      <c r="Z148" s="124">
        <v>0</v>
      </c>
      <c r="AA148" s="125">
        <f>$Z$148*$K$148</f>
        <v>0</v>
      </c>
      <c r="AR148" s="6" t="s">
        <v>165</v>
      </c>
      <c r="AT148" s="6" t="s">
        <v>161</v>
      </c>
      <c r="AU148" s="6" t="s">
        <v>102</v>
      </c>
      <c r="AY148" s="6" t="s">
        <v>160</v>
      </c>
      <c r="BE148" s="77">
        <f>IF($U$148="základní",$N$148,0)</f>
        <v>0</v>
      </c>
      <c r="BF148" s="77">
        <f>IF($U$148="snížená",$N$148,0)</f>
        <v>0</v>
      </c>
      <c r="BG148" s="77">
        <f>IF($U$148="zákl. přenesená",$N$148,0)</f>
        <v>0</v>
      </c>
      <c r="BH148" s="77">
        <f>IF($U$148="sníž. přenesená",$N$148,0)</f>
        <v>0</v>
      </c>
      <c r="BI148" s="77">
        <f>IF($U$148="nulová",$N$148,0)</f>
        <v>0</v>
      </c>
      <c r="BJ148" s="6" t="s">
        <v>17</v>
      </c>
      <c r="BK148" s="77">
        <f>ROUND($L$148*$K$148,2)</f>
        <v>0</v>
      </c>
      <c r="BL148" s="6" t="s">
        <v>165</v>
      </c>
    </row>
    <row r="149" spans="2:51" s="6" customFormat="1" ht="15.75" customHeight="1">
      <c r="B149" s="126"/>
      <c r="E149" s="127"/>
      <c r="F149" s="198" t="s">
        <v>181</v>
      </c>
      <c r="G149" s="199"/>
      <c r="H149" s="199"/>
      <c r="I149" s="199"/>
      <c r="K149" s="128">
        <v>30.672</v>
      </c>
      <c r="R149" s="129"/>
      <c r="T149" s="130"/>
      <c r="AA149" s="131"/>
      <c r="AT149" s="127" t="s">
        <v>167</v>
      </c>
      <c r="AU149" s="127" t="s">
        <v>102</v>
      </c>
      <c r="AV149" s="127" t="s">
        <v>102</v>
      </c>
      <c r="AW149" s="127" t="s">
        <v>109</v>
      </c>
      <c r="AX149" s="127" t="s">
        <v>17</v>
      </c>
      <c r="AY149" s="127" t="s">
        <v>160</v>
      </c>
    </row>
    <row r="150" spans="2:64" s="6" customFormat="1" ht="27" customHeight="1">
      <c r="B150" s="21"/>
      <c r="C150" s="119" t="s">
        <v>182</v>
      </c>
      <c r="D150" s="119" t="s">
        <v>161</v>
      </c>
      <c r="E150" s="120" t="s">
        <v>183</v>
      </c>
      <c r="F150" s="194" t="s">
        <v>184</v>
      </c>
      <c r="G150" s="195"/>
      <c r="H150" s="195"/>
      <c r="I150" s="195"/>
      <c r="J150" s="121" t="s">
        <v>176</v>
      </c>
      <c r="K150" s="122">
        <v>15.336</v>
      </c>
      <c r="L150" s="196">
        <v>0</v>
      </c>
      <c r="M150" s="195"/>
      <c r="N150" s="197">
        <f>ROUND($L$150*$K$150,2)</f>
        <v>0</v>
      </c>
      <c r="O150" s="195"/>
      <c r="P150" s="195"/>
      <c r="Q150" s="195"/>
      <c r="R150" s="22"/>
      <c r="T150" s="123"/>
      <c r="U150" s="28" t="s">
        <v>41</v>
      </c>
      <c r="V150" s="124">
        <v>0.058</v>
      </c>
      <c r="W150" s="124">
        <f>$V$150*$K$150</f>
        <v>0.8894880000000001</v>
      </c>
      <c r="X150" s="124">
        <v>0</v>
      </c>
      <c r="Y150" s="124">
        <f>$X$150*$K$150</f>
        <v>0</v>
      </c>
      <c r="Z150" s="124">
        <v>0</v>
      </c>
      <c r="AA150" s="125">
        <f>$Z$150*$K$150</f>
        <v>0</v>
      </c>
      <c r="AR150" s="6" t="s">
        <v>165</v>
      </c>
      <c r="AT150" s="6" t="s">
        <v>161</v>
      </c>
      <c r="AU150" s="6" t="s">
        <v>102</v>
      </c>
      <c r="AY150" s="6" t="s">
        <v>160</v>
      </c>
      <c r="BE150" s="77">
        <f>IF($U$150="základní",$N$150,0)</f>
        <v>0</v>
      </c>
      <c r="BF150" s="77">
        <f>IF($U$150="snížená",$N$150,0)</f>
        <v>0</v>
      </c>
      <c r="BG150" s="77">
        <f>IF($U$150="zákl. přenesená",$N$150,0)</f>
        <v>0</v>
      </c>
      <c r="BH150" s="77">
        <f>IF($U$150="sníž. přenesená",$N$150,0)</f>
        <v>0</v>
      </c>
      <c r="BI150" s="77">
        <f>IF($U$150="nulová",$N$150,0)</f>
        <v>0</v>
      </c>
      <c r="BJ150" s="6" t="s">
        <v>17</v>
      </c>
      <c r="BK150" s="77">
        <f>ROUND($L$150*$K$150,2)</f>
        <v>0</v>
      </c>
      <c r="BL150" s="6" t="s">
        <v>165</v>
      </c>
    </row>
    <row r="151" spans="2:51" s="6" customFormat="1" ht="15.75" customHeight="1">
      <c r="B151" s="126"/>
      <c r="E151" s="127"/>
      <c r="F151" s="198" t="s">
        <v>185</v>
      </c>
      <c r="G151" s="199"/>
      <c r="H151" s="199"/>
      <c r="I151" s="199"/>
      <c r="K151" s="128">
        <v>15.336</v>
      </c>
      <c r="R151" s="129"/>
      <c r="T151" s="130"/>
      <c r="AA151" s="131"/>
      <c r="AT151" s="127" t="s">
        <v>167</v>
      </c>
      <c r="AU151" s="127" t="s">
        <v>102</v>
      </c>
      <c r="AV151" s="127" t="s">
        <v>102</v>
      </c>
      <c r="AW151" s="127" t="s">
        <v>109</v>
      </c>
      <c r="AX151" s="127" t="s">
        <v>17</v>
      </c>
      <c r="AY151" s="127" t="s">
        <v>160</v>
      </c>
    </row>
    <row r="152" spans="2:64" s="6" customFormat="1" ht="27" customHeight="1">
      <c r="B152" s="21"/>
      <c r="C152" s="119" t="s">
        <v>186</v>
      </c>
      <c r="D152" s="119" t="s">
        <v>161</v>
      </c>
      <c r="E152" s="120" t="s">
        <v>187</v>
      </c>
      <c r="F152" s="194" t="s">
        <v>188</v>
      </c>
      <c r="G152" s="195"/>
      <c r="H152" s="195"/>
      <c r="I152" s="195"/>
      <c r="J152" s="121" t="s">
        <v>176</v>
      </c>
      <c r="K152" s="122">
        <v>6.067</v>
      </c>
      <c r="L152" s="196">
        <v>0</v>
      </c>
      <c r="M152" s="195"/>
      <c r="N152" s="197">
        <f>ROUND($L$152*$K$152,2)</f>
        <v>0</v>
      </c>
      <c r="O152" s="195"/>
      <c r="P152" s="195"/>
      <c r="Q152" s="195"/>
      <c r="R152" s="22"/>
      <c r="T152" s="123"/>
      <c r="U152" s="28" t="s">
        <v>41</v>
      </c>
      <c r="V152" s="124">
        <v>2.32</v>
      </c>
      <c r="W152" s="124">
        <f>$V$152*$K$152</f>
        <v>14.075439999999999</v>
      </c>
      <c r="X152" s="124">
        <v>0</v>
      </c>
      <c r="Y152" s="124">
        <f>$X$152*$K$152</f>
        <v>0</v>
      </c>
      <c r="Z152" s="124">
        <v>0</v>
      </c>
      <c r="AA152" s="125">
        <f>$Z$152*$K$152</f>
        <v>0</v>
      </c>
      <c r="AR152" s="6" t="s">
        <v>165</v>
      </c>
      <c r="AT152" s="6" t="s">
        <v>161</v>
      </c>
      <c r="AU152" s="6" t="s">
        <v>102</v>
      </c>
      <c r="AY152" s="6" t="s">
        <v>160</v>
      </c>
      <c r="BE152" s="77">
        <f>IF($U$152="základní",$N$152,0)</f>
        <v>0</v>
      </c>
      <c r="BF152" s="77">
        <f>IF($U$152="snížená",$N$152,0)</f>
        <v>0</v>
      </c>
      <c r="BG152" s="77">
        <f>IF($U$152="zákl. přenesená",$N$152,0)</f>
        <v>0</v>
      </c>
      <c r="BH152" s="77">
        <f>IF($U$152="sníž. přenesená",$N$152,0)</f>
        <v>0</v>
      </c>
      <c r="BI152" s="77">
        <f>IF($U$152="nulová",$N$152,0)</f>
        <v>0</v>
      </c>
      <c r="BJ152" s="6" t="s">
        <v>17</v>
      </c>
      <c r="BK152" s="77">
        <f>ROUND($L$152*$K$152,2)</f>
        <v>0</v>
      </c>
      <c r="BL152" s="6" t="s">
        <v>165</v>
      </c>
    </row>
    <row r="153" spans="2:51" s="6" customFormat="1" ht="27" customHeight="1">
      <c r="B153" s="126"/>
      <c r="E153" s="127"/>
      <c r="F153" s="198" t="s">
        <v>189</v>
      </c>
      <c r="G153" s="199"/>
      <c r="H153" s="199"/>
      <c r="I153" s="199"/>
      <c r="K153" s="128">
        <v>5.797</v>
      </c>
      <c r="R153" s="129"/>
      <c r="T153" s="130"/>
      <c r="AA153" s="131"/>
      <c r="AT153" s="127" t="s">
        <v>167</v>
      </c>
      <c r="AU153" s="127" t="s">
        <v>102</v>
      </c>
      <c r="AV153" s="127" t="s">
        <v>102</v>
      </c>
      <c r="AW153" s="127" t="s">
        <v>109</v>
      </c>
      <c r="AX153" s="127" t="s">
        <v>76</v>
      </c>
      <c r="AY153" s="127" t="s">
        <v>160</v>
      </c>
    </row>
    <row r="154" spans="2:51" s="6" customFormat="1" ht="15.75" customHeight="1">
      <c r="B154" s="126"/>
      <c r="E154" s="127"/>
      <c r="F154" s="198" t="s">
        <v>190</v>
      </c>
      <c r="G154" s="199"/>
      <c r="H154" s="199"/>
      <c r="I154" s="199"/>
      <c r="K154" s="128">
        <v>0.27</v>
      </c>
      <c r="R154" s="129"/>
      <c r="T154" s="130"/>
      <c r="AA154" s="131"/>
      <c r="AT154" s="127" t="s">
        <v>167</v>
      </c>
      <c r="AU154" s="127" t="s">
        <v>102</v>
      </c>
      <c r="AV154" s="127" t="s">
        <v>102</v>
      </c>
      <c r="AW154" s="127" t="s">
        <v>109</v>
      </c>
      <c r="AX154" s="127" t="s">
        <v>76</v>
      </c>
      <c r="AY154" s="127" t="s">
        <v>160</v>
      </c>
    </row>
    <row r="155" spans="2:51" s="6" customFormat="1" ht="15.75" customHeight="1">
      <c r="B155" s="132"/>
      <c r="E155" s="133"/>
      <c r="F155" s="200" t="s">
        <v>191</v>
      </c>
      <c r="G155" s="201"/>
      <c r="H155" s="201"/>
      <c r="I155" s="201"/>
      <c r="K155" s="134">
        <v>6.067</v>
      </c>
      <c r="R155" s="135"/>
      <c r="T155" s="136"/>
      <c r="AA155" s="137"/>
      <c r="AT155" s="133" t="s">
        <v>167</v>
      </c>
      <c r="AU155" s="133" t="s">
        <v>102</v>
      </c>
      <c r="AV155" s="133" t="s">
        <v>165</v>
      </c>
      <c r="AW155" s="133" t="s">
        <v>109</v>
      </c>
      <c r="AX155" s="133" t="s">
        <v>17</v>
      </c>
      <c r="AY155" s="133" t="s">
        <v>160</v>
      </c>
    </row>
    <row r="156" spans="2:64" s="6" customFormat="1" ht="27" customHeight="1">
      <c r="B156" s="21"/>
      <c r="C156" s="119" t="s">
        <v>192</v>
      </c>
      <c r="D156" s="119" t="s">
        <v>161</v>
      </c>
      <c r="E156" s="120" t="s">
        <v>193</v>
      </c>
      <c r="F156" s="194" t="s">
        <v>194</v>
      </c>
      <c r="G156" s="195"/>
      <c r="H156" s="195"/>
      <c r="I156" s="195"/>
      <c r="J156" s="121" t="s">
        <v>176</v>
      </c>
      <c r="K156" s="122">
        <v>3.034</v>
      </c>
      <c r="L156" s="196">
        <v>0</v>
      </c>
      <c r="M156" s="195"/>
      <c r="N156" s="197">
        <f>ROUND($L$156*$K$156,2)</f>
        <v>0</v>
      </c>
      <c r="O156" s="195"/>
      <c r="P156" s="195"/>
      <c r="Q156" s="195"/>
      <c r="R156" s="22"/>
      <c r="T156" s="123"/>
      <c r="U156" s="28" t="s">
        <v>41</v>
      </c>
      <c r="V156" s="124">
        <v>0.654</v>
      </c>
      <c r="W156" s="124">
        <f>$V$156*$K$156</f>
        <v>1.9842359999999999</v>
      </c>
      <c r="X156" s="124">
        <v>0</v>
      </c>
      <c r="Y156" s="124">
        <f>$X$156*$K$156</f>
        <v>0</v>
      </c>
      <c r="Z156" s="124">
        <v>0</v>
      </c>
      <c r="AA156" s="125">
        <f>$Z$156*$K$156</f>
        <v>0</v>
      </c>
      <c r="AR156" s="6" t="s">
        <v>165</v>
      </c>
      <c r="AT156" s="6" t="s">
        <v>161</v>
      </c>
      <c r="AU156" s="6" t="s">
        <v>102</v>
      </c>
      <c r="AY156" s="6" t="s">
        <v>160</v>
      </c>
      <c r="BE156" s="77">
        <f>IF($U$156="základní",$N$156,0)</f>
        <v>0</v>
      </c>
      <c r="BF156" s="77">
        <f>IF($U$156="snížená",$N$156,0)</f>
        <v>0</v>
      </c>
      <c r="BG156" s="77">
        <f>IF($U$156="zákl. přenesená",$N$156,0)</f>
        <v>0</v>
      </c>
      <c r="BH156" s="77">
        <f>IF($U$156="sníž. přenesená",$N$156,0)</f>
        <v>0</v>
      </c>
      <c r="BI156" s="77">
        <f>IF($U$156="nulová",$N$156,0)</f>
        <v>0</v>
      </c>
      <c r="BJ156" s="6" t="s">
        <v>17</v>
      </c>
      <c r="BK156" s="77">
        <f>ROUND($L$156*$K$156,2)</f>
        <v>0</v>
      </c>
      <c r="BL156" s="6" t="s">
        <v>165</v>
      </c>
    </row>
    <row r="157" spans="2:51" s="6" customFormat="1" ht="15.75" customHeight="1">
      <c r="B157" s="126"/>
      <c r="E157" s="127"/>
      <c r="F157" s="198" t="s">
        <v>195</v>
      </c>
      <c r="G157" s="199"/>
      <c r="H157" s="199"/>
      <c r="I157" s="199"/>
      <c r="K157" s="128">
        <v>3.034</v>
      </c>
      <c r="R157" s="129"/>
      <c r="T157" s="130"/>
      <c r="AA157" s="131"/>
      <c r="AT157" s="127" t="s">
        <v>167</v>
      </c>
      <c r="AU157" s="127" t="s">
        <v>102</v>
      </c>
      <c r="AV157" s="127" t="s">
        <v>102</v>
      </c>
      <c r="AW157" s="127" t="s">
        <v>109</v>
      </c>
      <c r="AX157" s="127" t="s">
        <v>17</v>
      </c>
      <c r="AY157" s="127" t="s">
        <v>160</v>
      </c>
    </row>
    <row r="158" spans="2:64" s="6" customFormat="1" ht="27" customHeight="1">
      <c r="B158" s="21"/>
      <c r="C158" s="119" t="s">
        <v>196</v>
      </c>
      <c r="D158" s="119" t="s">
        <v>161</v>
      </c>
      <c r="E158" s="120" t="s">
        <v>197</v>
      </c>
      <c r="F158" s="194" t="s">
        <v>198</v>
      </c>
      <c r="G158" s="195"/>
      <c r="H158" s="195"/>
      <c r="I158" s="195"/>
      <c r="J158" s="121" t="s">
        <v>176</v>
      </c>
      <c r="K158" s="122">
        <v>37.066</v>
      </c>
      <c r="L158" s="196">
        <v>0</v>
      </c>
      <c r="M158" s="195"/>
      <c r="N158" s="197">
        <f>ROUND($L$158*$K$158,2)</f>
        <v>0</v>
      </c>
      <c r="O158" s="195"/>
      <c r="P158" s="195"/>
      <c r="Q158" s="195"/>
      <c r="R158" s="22"/>
      <c r="T158" s="123"/>
      <c r="U158" s="28" t="s">
        <v>41</v>
      </c>
      <c r="V158" s="124">
        <v>0.083</v>
      </c>
      <c r="W158" s="124">
        <f>$V$158*$K$158</f>
        <v>3.0764780000000003</v>
      </c>
      <c r="X158" s="124">
        <v>0</v>
      </c>
      <c r="Y158" s="124">
        <f>$X$158*$K$158</f>
        <v>0</v>
      </c>
      <c r="Z158" s="124">
        <v>0</v>
      </c>
      <c r="AA158" s="125">
        <f>$Z$158*$K$158</f>
        <v>0</v>
      </c>
      <c r="AR158" s="6" t="s">
        <v>165</v>
      </c>
      <c r="AT158" s="6" t="s">
        <v>161</v>
      </c>
      <c r="AU158" s="6" t="s">
        <v>102</v>
      </c>
      <c r="AY158" s="6" t="s">
        <v>160</v>
      </c>
      <c r="BE158" s="77">
        <f>IF($U$158="základní",$N$158,0)</f>
        <v>0</v>
      </c>
      <c r="BF158" s="77">
        <f>IF($U$158="snížená",$N$158,0)</f>
        <v>0</v>
      </c>
      <c r="BG158" s="77">
        <f>IF($U$158="zákl. přenesená",$N$158,0)</f>
        <v>0</v>
      </c>
      <c r="BH158" s="77">
        <f>IF($U$158="sníž. přenesená",$N$158,0)</f>
        <v>0</v>
      </c>
      <c r="BI158" s="77">
        <f>IF($U$158="nulová",$N$158,0)</f>
        <v>0</v>
      </c>
      <c r="BJ158" s="6" t="s">
        <v>17</v>
      </c>
      <c r="BK158" s="77">
        <f>ROUND($L$158*$K$158,2)</f>
        <v>0</v>
      </c>
      <c r="BL158" s="6" t="s">
        <v>165</v>
      </c>
    </row>
    <row r="159" spans="2:51" s="6" customFormat="1" ht="15.75" customHeight="1">
      <c r="B159" s="126"/>
      <c r="E159" s="127"/>
      <c r="F159" s="198" t="s">
        <v>199</v>
      </c>
      <c r="G159" s="199"/>
      <c r="H159" s="199"/>
      <c r="I159" s="199"/>
      <c r="K159" s="128">
        <v>37.066</v>
      </c>
      <c r="R159" s="129"/>
      <c r="T159" s="130"/>
      <c r="AA159" s="131"/>
      <c r="AT159" s="127" t="s">
        <v>167</v>
      </c>
      <c r="AU159" s="127" t="s">
        <v>102</v>
      </c>
      <c r="AV159" s="127" t="s">
        <v>102</v>
      </c>
      <c r="AW159" s="127" t="s">
        <v>109</v>
      </c>
      <c r="AX159" s="127" t="s">
        <v>17</v>
      </c>
      <c r="AY159" s="127" t="s">
        <v>160</v>
      </c>
    </row>
    <row r="160" spans="2:64" s="6" customFormat="1" ht="15.75" customHeight="1">
      <c r="B160" s="21"/>
      <c r="C160" s="119" t="s">
        <v>22</v>
      </c>
      <c r="D160" s="119" t="s">
        <v>161</v>
      </c>
      <c r="E160" s="120" t="s">
        <v>200</v>
      </c>
      <c r="F160" s="194" t="s">
        <v>201</v>
      </c>
      <c r="G160" s="195"/>
      <c r="H160" s="195"/>
      <c r="I160" s="195"/>
      <c r="J160" s="121" t="s">
        <v>176</v>
      </c>
      <c r="K160" s="122">
        <v>37.066</v>
      </c>
      <c r="L160" s="196">
        <v>0</v>
      </c>
      <c r="M160" s="195"/>
      <c r="N160" s="197">
        <f>ROUND($L$160*$K$160,2)</f>
        <v>0</v>
      </c>
      <c r="O160" s="195"/>
      <c r="P160" s="195"/>
      <c r="Q160" s="195"/>
      <c r="R160" s="22"/>
      <c r="T160" s="123"/>
      <c r="U160" s="28" t="s">
        <v>41</v>
      </c>
      <c r="V160" s="124">
        <v>0.652</v>
      </c>
      <c r="W160" s="124">
        <f>$V$160*$K$160</f>
        <v>24.167032000000003</v>
      </c>
      <c r="X160" s="124">
        <v>0</v>
      </c>
      <c r="Y160" s="124">
        <f>$X$160*$K$160</f>
        <v>0</v>
      </c>
      <c r="Z160" s="124">
        <v>0</v>
      </c>
      <c r="AA160" s="125">
        <f>$Z$160*$K$160</f>
        <v>0</v>
      </c>
      <c r="AR160" s="6" t="s">
        <v>165</v>
      </c>
      <c r="AT160" s="6" t="s">
        <v>161</v>
      </c>
      <c r="AU160" s="6" t="s">
        <v>102</v>
      </c>
      <c r="AY160" s="6" t="s">
        <v>160</v>
      </c>
      <c r="BE160" s="77">
        <f>IF($U$160="základní",$N$160,0)</f>
        <v>0</v>
      </c>
      <c r="BF160" s="77">
        <f>IF($U$160="snížená",$N$160,0)</f>
        <v>0</v>
      </c>
      <c r="BG160" s="77">
        <f>IF($U$160="zákl. přenesená",$N$160,0)</f>
        <v>0</v>
      </c>
      <c r="BH160" s="77">
        <f>IF($U$160="sníž. přenesená",$N$160,0)</f>
        <v>0</v>
      </c>
      <c r="BI160" s="77">
        <f>IF($U$160="nulová",$N$160,0)</f>
        <v>0</v>
      </c>
      <c r="BJ160" s="6" t="s">
        <v>17</v>
      </c>
      <c r="BK160" s="77">
        <f>ROUND($L$160*$K$160,2)</f>
        <v>0</v>
      </c>
      <c r="BL160" s="6" t="s">
        <v>165</v>
      </c>
    </row>
    <row r="161" spans="2:64" s="6" customFormat="1" ht="15.75" customHeight="1">
      <c r="B161" s="21"/>
      <c r="C161" s="119" t="s">
        <v>202</v>
      </c>
      <c r="D161" s="119" t="s">
        <v>161</v>
      </c>
      <c r="E161" s="120" t="s">
        <v>203</v>
      </c>
      <c r="F161" s="194" t="s">
        <v>204</v>
      </c>
      <c r="G161" s="195"/>
      <c r="H161" s="195"/>
      <c r="I161" s="195"/>
      <c r="J161" s="121" t="s">
        <v>176</v>
      </c>
      <c r="K161" s="122">
        <v>37.066</v>
      </c>
      <c r="L161" s="196">
        <v>0</v>
      </c>
      <c r="M161" s="195"/>
      <c r="N161" s="197">
        <f>ROUND($L$161*$K$161,2)</f>
        <v>0</v>
      </c>
      <c r="O161" s="195"/>
      <c r="P161" s="195"/>
      <c r="Q161" s="195"/>
      <c r="R161" s="22"/>
      <c r="T161" s="123"/>
      <c r="U161" s="28" t="s">
        <v>41</v>
      </c>
      <c r="V161" s="124">
        <v>0.009</v>
      </c>
      <c r="W161" s="124">
        <f>$V$161*$K$161</f>
        <v>0.333594</v>
      </c>
      <c r="X161" s="124">
        <v>0</v>
      </c>
      <c r="Y161" s="124">
        <f>$X$161*$K$161</f>
        <v>0</v>
      </c>
      <c r="Z161" s="124">
        <v>0</v>
      </c>
      <c r="AA161" s="125">
        <f>$Z$161*$K$161</f>
        <v>0</v>
      </c>
      <c r="AR161" s="6" t="s">
        <v>165</v>
      </c>
      <c r="AT161" s="6" t="s">
        <v>161</v>
      </c>
      <c r="AU161" s="6" t="s">
        <v>102</v>
      </c>
      <c r="AY161" s="6" t="s">
        <v>160</v>
      </c>
      <c r="BE161" s="77">
        <f>IF($U$161="základní",$N$161,0)</f>
        <v>0</v>
      </c>
      <c r="BF161" s="77">
        <f>IF($U$161="snížená",$N$161,0)</f>
        <v>0</v>
      </c>
      <c r="BG161" s="77">
        <f>IF($U$161="zákl. přenesená",$N$161,0)</f>
        <v>0</v>
      </c>
      <c r="BH161" s="77">
        <f>IF($U$161="sníž. přenesená",$N$161,0)</f>
        <v>0</v>
      </c>
      <c r="BI161" s="77">
        <f>IF($U$161="nulová",$N$161,0)</f>
        <v>0</v>
      </c>
      <c r="BJ161" s="6" t="s">
        <v>17</v>
      </c>
      <c r="BK161" s="77">
        <f>ROUND($L$161*$K$161,2)</f>
        <v>0</v>
      </c>
      <c r="BL161" s="6" t="s">
        <v>165</v>
      </c>
    </row>
    <row r="162" spans="2:64" s="6" customFormat="1" ht="27" customHeight="1">
      <c r="B162" s="21"/>
      <c r="C162" s="119" t="s">
        <v>205</v>
      </c>
      <c r="D162" s="119" t="s">
        <v>161</v>
      </c>
      <c r="E162" s="120" t="s">
        <v>206</v>
      </c>
      <c r="F162" s="194" t="s">
        <v>207</v>
      </c>
      <c r="G162" s="195"/>
      <c r="H162" s="195"/>
      <c r="I162" s="195"/>
      <c r="J162" s="121" t="s">
        <v>208</v>
      </c>
      <c r="K162" s="122">
        <v>70.425</v>
      </c>
      <c r="L162" s="196">
        <v>0</v>
      </c>
      <c r="M162" s="195"/>
      <c r="N162" s="197">
        <f>ROUND($L$162*$K$162,2)</f>
        <v>0</v>
      </c>
      <c r="O162" s="195"/>
      <c r="P162" s="195"/>
      <c r="Q162" s="195"/>
      <c r="R162" s="22"/>
      <c r="T162" s="123"/>
      <c r="U162" s="28" t="s">
        <v>41</v>
      </c>
      <c r="V162" s="124">
        <v>0</v>
      </c>
      <c r="W162" s="124">
        <f>$V$162*$K$162</f>
        <v>0</v>
      </c>
      <c r="X162" s="124">
        <v>0</v>
      </c>
      <c r="Y162" s="124">
        <f>$X$162*$K$162</f>
        <v>0</v>
      </c>
      <c r="Z162" s="124">
        <v>0</v>
      </c>
      <c r="AA162" s="125">
        <f>$Z$162*$K$162</f>
        <v>0</v>
      </c>
      <c r="AR162" s="6" t="s">
        <v>165</v>
      </c>
      <c r="AT162" s="6" t="s">
        <v>161</v>
      </c>
      <c r="AU162" s="6" t="s">
        <v>102</v>
      </c>
      <c r="AY162" s="6" t="s">
        <v>160</v>
      </c>
      <c r="BE162" s="77">
        <f>IF($U$162="základní",$N$162,0)</f>
        <v>0</v>
      </c>
      <c r="BF162" s="77">
        <f>IF($U$162="snížená",$N$162,0)</f>
        <v>0</v>
      </c>
      <c r="BG162" s="77">
        <f>IF($U$162="zákl. přenesená",$N$162,0)</f>
        <v>0</v>
      </c>
      <c r="BH162" s="77">
        <f>IF($U$162="sníž. přenesená",$N$162,0)</f>
        <v>0</v>
      </c>
      <c r="BI162" s="77">
        <f>IF($U$162="nulová",$N$162,0)</f>
        <v>0</v>
      </c>
      <c r="BJ162" s="6" t="s">
        <v>17</v>
      </c>
      <c r="BK162" s="77">
        <f>ROUND($L$162*$K$162,2)</f>
        <v>0</v>
      </c>
      <c r="BL162" s="6" t="s">
        <v>165</v>
      </c>
    </row>
    <row r="163" spans="2:51" s="6" customFormat="1" ht="15.75" customHeight="1">
      <c r="B163" s="126"/>
      <c r="E163" s="127"/>
      <c r="F163" s="198" t="s">
        <v>209</v>
      </c>
      <c r="G163" s="199"/>
      <c r="H163" s="199"/>
      <c r="I163" s="199"/>
      <c r="K163" s="128">
        <v>70.425</v>
      </c>
      <c r="R163" s="129"/>
      <c r="T163" s="130"/>
      <c r="AA163" s="131"/>
      <c r="AT163" s="127" t="s">
        <v>167</v>
      </c>
      <c r="AU163" s="127" t="s">
        <v>102</v>
      </c>
      <c r="AV163" s="127" t="s">
        <v>102</v>
      </c>
      <c r="AW163" s="127" t="s">
        <v>109</v>
      </c>
      <c r="AX163" s="127" t="s">
        <v>17</v>
      </c>
      <c r="AY163" s="127" t="s">
        <v>160</v>
      </c>
    </row>
    <row r="164" spans="2:64" s="6" customFormat="1" ht="15.75" customHeight="1">
      <c r="B164" s="21"/>
      <c r="C164" s="119" t="s">
        <v>210</v>
      </c>
      <c r="D164" s="119" t="s">
        <v>161</v>
      </c>
      <c r="E164" s="120" t="s">
        <v>211</v>
      </c>
      <c r="F164" s="194" t="s">
        <v>212</v>
      </c>
      <c r="G164" s="195"/>
      <c r="H164" s="195"/>
      <c r="I164" s="195"/>
      <c r="J164" s="121" t="s">
        <v>213</v>
      </c>
      <c r="K164" s="122">
        <v>1</v>
      </c>
      <c r="L164" s="196">
        <v>0</v>
      </c>
      <c r="M164" s="195"/>
      <c r="N164" s="197">
        <f>ROUND($L$164*$K$164,2)</f>
        <v>0</v>
      </c>
      <c r="O164" s="195"/>
      <c r="P164" s="195"/>
      <c r="Q164" s="195"/>
      <c r="R164" s="22"/>
      <c r="T164" s="123"/>
      <c r="U164" s="28" t="s">
        <v>41</v>
      </c>
      <c r="V164" s="124">
        <v>2.089</v>
      </c>
      <c r="W164" s="124">
        <f>$V$164*$K$164</f>
        <v>2.089</v>
      </c>
      <c r="X164" s="124">
        <v>0.00015</v>
      </c>
      <c r="Y164" s="124">
        <f>$X$164*$K$164</f>
        <v>0.00015</v>
      </c>
      <c r="Z164" s="124">
        <v>0</v>
      </c>
      <c r="AA164" s="125">
        <f>$Z$164*$K$164</f>
        <v>0</v>
      </c>
      <c r="AR164" s="6" t="s">
        <v>165</v>
      </c>
      <c r="AT164" s="6" t="s">
        <v>161</v>
      </c>
      <c r="AU164" s="6" t="s">
        <v>102</v>
      </c>
      <c r="AY164" s="6" t="s">
        <v>160</v>
      </c>
      <c r="BE164" s="77">
        <f>IF($U$164="základní",$N$164,0)</f>
        <v>0</v>
      </c>
      <c r="BF164" s="77">
        <f>IF($U$164="snížená",$N$164,0)</f>
        <v>0</v>
      </c>
      <c r="BG164" s="77">
        <f>IF($U$164="zákl. přenesená",$N$164,0)</f>
        <v>0</v>
      </c>
      <c r="BH164" s="77">
        <f>IF($U$164="sníž. přenesená",$N$164,0)</f>
        <v>0</v>
      </c>
      <c r="BI164" s="77">
        <f>IF($U$164="nulová",$N$164,0)</f>
        <v>0</v>
      </c>
      <c r="BJ164" s="6" t="s">
        <v>17</v>
      </c>
      <c r="BK164" s="77">
        <f>ROUND($L$164*$K$164,2)</f>
        <v>0</v>
      </c>
      <c r="BL164" s="6" t="s">
        <v>165</v>
      </c>
    </row>
    <row r="165" spans="2:63" s="109" customFormat="1" ht="30.75" customHeight="1">
      <c r="B165" s="110"/>
      <c r="D165" s="118" t="s">
        <v>112</v>
      </c>
      <c r="N165" s="210">
        <f>$BK$165</f>
        <v>0</v>
      </c>
      <c r="O165" s="209"/>
      <c r="P165" s="209"/>
      <c r="Q165" s="209"/>
      <c r="R165" s="113"/>
      <c r="T165" s="114"/>
      <c r="W165" s="115">
        <f>SUM($W$166:$W$181)</f>
        <v>13.779081</v>
      </c>
      <c r="Y165" s="115">
        <f>SUM($Y$166:$Y$181)</f>
        <v>24.402246719999997</v>
      </c>
      <c r="AA165" s="116">
        <f>SUM($AA$166:$AA$181)</f>
        <v>0</v>
      </c>
      <c r="AR165" s="112" t="s">
        <v>17</v>
      </c>
      <c r="AT165" s="112" t="s">
        <v>75</v>
      </c>
      <c r="AU165" s="112" t="s">
        <v>17</v>
      </c>
      <c r="AY165" s="112" t="s">
        <v>160</v>
      </c>
      <c r="BK165" s="117">
        <f>SUM($BK$166:$BK$181)</f>
        <v>0</v>
      </c>
    </row>
    <row r="166" spans="2:64" s="6" customFormat="1" ht="27" customHeight="1">
      <c r="B166" s="21"/>
      <c r="C166" s="119" t="s">
        <v>214</v>
      </c>
      <c r="D166" s="119" t="s">
        <v>161</v>
      </c>
      <c r="E166" s="120" t="s">
        <v>215</v>
      </c>
      <c r="F166" s="194" t="s">
        <v>216</v>
      </c>
      <c r="G166" s="195"/>
      <c r="H166" s="195"/>
      <c r="I166" s="195"/>
      <c r="J166" s="121" t="s">
        <v>176</v>
      </c>
      <c r="K166" s="122">
        <v>3.172</v>
      </c>
      <c r="L166" s="196">
        <v>0</v>
      </c>
      <c r="M166" s="195"/>
      <c r="N166" s="197">
        <f>ROUND($L$166*$K$166,2)</f>
        <v>0</v>
      </c>
      <c r="O166" s="195"/>
      <c r="P166" s="195"/>
      <c r="Q166" s="195"/>
      <c r="R166" s="22"/>
      <c r="T166" s="123"/>
      <c r="U166" s="28" t="s">
        <v>41</v>
      </c>
      <c r="V166" s="124">
        <v>0.985</v>
      </c>
      <c r="W166" s="124">
        <f>$V$166*$K$166</f>
        <v>3.12442</v>
      </c>
      <c r="X166" s="124">
        <v>1.98</v>
      </c>
      <c r="Y166" s="124">
        <f>$X$166*$K$166</f>
        <v>6.28056</v>
      </c>
      <c r="Z166" s="124">
        <v>0</v>
      </c>
      <c r="AA166" s="125">
        <f>$Z$166*$K$166</f>
        <v>0</v>
      </c>
      <c r="AR166" s="6" t="s">
        <v>165</v>
      </c>
      <c r="AT166" s="6" t="s">
        <v>161</v>
      </c>
      <c r="AU166" s="6" t="s">
        <v>102</v>
      </c>
      <c r="AY166" s="6" t="s">
        <v>160</v>
      </c>
      <c r="BE166" s="77">
        <f>IF($U$166="základní",$N$166,0)</f>
        <v>0</v>
      </c>
      <c r="BF166" s="77">
        <f>IF($U$166="snížená",$N$166,0)</f>
        <v>0</v>
      </c>
      <c r="BG166" s="77">
        <f>IF($U$166="zákl. přenesená",$N$166,0)</f>
        <v>0</v>
      </c>
      <c r="BH166" s="77">
        <f>IF($U$166="sníž. přenesená",$N$166,0)</f>
        <v>0</v>
      </c>
      <c r="BI166" s="77">
        <f>IF($U$166="nulová",$N$166,0)</f>
        <v>0</v>
      </c>
      <c r="BJ166" s="6" t="s">
        <v>17</v>
      </c>
      <c r="BK166" s="77">
        <f>ROUND($L$166*$K$166,2)</f>
        <v>0</v>
      </c>
      <c r="BL166" s="6" t="s">
        <v>165</v>
      </c>
    </row>
    <row r="167" spans="2:51" s="6" customFormat="1" ht="27" customHeight="1">
      <c r="B167" s="126"/>
      <c r="E167" s="127"/>
      <c r="F167" s="198" t="s">
        <v>217</v>
      </c>
      <c r="G167" s="199"/>
      <c r="H167" s="199"/>
      <c r="I167" s="199"/>
      <c r="K167" s="128">
        <v>3.172</v>
      </c>
      <c r="R167" s="129"/>
      <c r="T167" s="130"/>
      <c r="AA167" s="131"/>
      <c r="AT167" s="127" t="s">
        <v>167</v>
      </c>
      <c r="AU167" s="127" t="s">
        <v>102</v>
      </c>
      <c r="AV167" s="127" t="s">
        <v>102</v>
      </c>
      <c r="AW167" s="127" t="s">
        <v>109</v>
      </c>
      <c r="AX167" s="127" t="s">
        <v>17</v>
      </c>
      <c r="AY167" s="127" t="s">
        <v>160</v>
      </c>
    </row>
    <row r="168" spans="2:64" s="6" customFormat="1" ht="27" customHeight="1">
      <c r="B168" s="21"/>
      <c r="C168" s="119" t="s">
        <v>8</v>
      </c>
      <c r="D168" s="119" t="s">
        <v>161</v>
      </c>
      <c r="E168" s="120" t="s">
        <v>218</v>
      </c>
      <c r="F168" s="194" t="s">
        <v>219</v>
      </c>
      <c r="G168" s="195"/>
      <c r="H168" s="195"/>
      <c r="I168" s="195"/>
      <c r="J168" s="121" t="s">
        <v>208</v>
      </c>
      <c r="K168" s="122">
        <v>0.105</v>
      </c>
      <c r="L168" s="196">
        <v>0</v>
      </c>
      <c r="M168" s="195"/>
      <c r="N168" s="197">
        <f>ROUND($L$168*$K$168,2)</f>
        <v>0</v>
      </c>
      <c r="O168" s="195"/>
      <c r="P168" s="195"/>
      <c r="Q168" s="195"/>
      <c r="R168" s="22"/>
      <c r="T168" s="123"/>
      <c r="U168" s="28" t="s">
        <v>41</v>
      </c>
      <c r="V168" s="124">
        <v>15.231</v>
      </c>
      <c r="W168" s="124">
        <f>$V$168*$K$168</f>
        <v>1.5992549999999999</v>
      </c>
      <c r="X168" s="124">
        <v>1.05306</v>
      </c>
      <c r="Y168" s="124">
        <f>$X$168*$K$168</f>
        <v>0.11057130000000001</v>
      </c>
      <c r="Z168" s="124">
        <v>0</v>
      </c>
      <c r="AA168" s="125">
        <f>$Z$168*$K$168</f>
        <v>0</v>
      </c>
      <c r="AR168" s="6" t="s">
        <v>165</v>
      </c>
      <c r="AT168" s="6" t="s">
        <v>161</v>
      </c>
      <c r="AU168" s="6" t="s">
        <v>102</v>
      </c>
      <c r="AY168" s="6" t="s">
        <v>160</v>
      </c>
      <c r="BE168" s="77">
        <f>IF($U$168="základní",$N$168,0)</f>
        <v>0</v>
      </c>
      <c r="BF168" s="77">
        <f>IF($U$168="snížená",$N$168,0)</f>
        <v>0</v>
      </c>
      <c r="BG168" s="77">
        <f>IF($U$168="zákl. přenesená",$N$168,0)</f>
        <v>0</v>
      </c>
      <c r="BH168" s="77">
        <f>IF($U$168="sníž. přenesená",$N$168,0)</f>
        <v>0</v>
      </c>
      <c r="BI168" s="77">
        <f>IF($U$168="nulová",$N$168,0)</f>
        <v>0</v>
      </c>
      <c r="BJ168" s="6" t="s">
        <v>17</v>
      </c>
      <c r="BK168" s="77">
        <f>ROUND($L$168*$K$168,2)</f>
        <v>0</v>
      </c>
      <c r="BL168" s="6" t="s">
        <v>165</v>
      </c>
    </row>
    <row r="169" spans="2:51" s="6" customFormat="1" ht="15.75" customHeight="1">
      <c r="B169" s="126"/>
      <c r="E169" s="127"/>
      <c r="F169" s="198" t="s">
        <v>220</v>
      </c>
      <c r="G169" s="199"/>
      <c r="H169" s="199"/>
      <c r="I169" s="199"/>
      <c r="K169" s="128">
        <v>0.105</v>
      </c>
      <c r="R169" s="129"/>
      <c r="T169" s="130"/>
      <c r="AA169" s="131"/>
      <c r="AT169" s="127" t="s">
        <v>167</v>
      </c>
      <c r="AU169" s="127" t="s">
        <v>102</v>
      </c>
      <c r="AV169" s="127" t="s">
        <v>102</v>
      </c>
      <c r="AW169" s="127" t="s">
        <v>109</v>
      </c>
      <c r="AX169" s="127" t="s">
        <v>17</v>
      </c>
      <c r="AY169" s="127" t="s">
        <v>160</v>
      </c>
    </row>
    <row r="170" spans="2:64" s="6" customFormat="1" ht="15.75" customHeight="1">
      <c r="B170" s="21"/>
      <c r="C170" s="119" t="s">
        <v>221</v>
      </c>
      <c r="D170" s="119" t="s">
        <v>161</v>
      </c>
      <c r="E170" s="120" t="s">
        <v>222</v>
      </c>
      <c r="F170" s="194" t="s">
        <v>223</v>
      </c>
      <c r="G170" s="195"/>
      <c r="H170" s="195"/>
      <c r="I170" s="195"/>
      <c r="J170" s="121" t="s">
        <v>176</v>
      </c>
      <c r="K170" s="122">
        <v>2.862</v>
      </c>
      <c r="L170" s="196">
        <v>0</v>
      </c>
      <c r="M170" s="195"/>
      <c r="N170" s="197">
        <f>ROUND($L$170*$K$170,2)</f>
        <v>0</v>
      </c>
      <c r="O170" s="195"/>
      <c r="P170" s="195"/>
      <c r="Q170" s="195"/>
      <c r="R170" s="22"/>
      <c r="T170" s="123"/>
      <c r="U170" s="28" t="s">
        <v>41</v>
      </c>
      <c r="V170" s="124">
        <v>0.629</v>
      </c>
      <c r="W170" s="124">
        <f>$V$170*$K$170</f>
        <v>1.800198</v>
      </c>
      <c r="X170" s="124">
        <v>2.25634</v>
      </c>
      <c r="Y170" s="124">
        <f>$X$170*$K$170</f>
        <v>6.45764508</v>
      </c>
      <c r="Z170" s="124">
        <v>0</v>
      </c>
      <c r="AA170" s="125">
        <f>$Z$170*$K$170</f>
        <v>0</v>
      </c>
      <c r="AR170" s="6" t="s">
        <v>165</v>
      </c>
      <c r="AT170" s="6" t="s">
        <v>161</v>
      </c>
      <c r="AU170" s="6" t="s">
        <v>102</v>
      </c>
      <c r="AY170" s="6" t="s">
        <v>160</v>
      </c>
      <c r="BE170" s="77">
        <f>IF($U$170="základní",$N$170,0)</f>
        <v>0</v>
      </c>
      <c r="BF170" s="77">
        <f>IF($U$170="snížená",$N$170,0)</f>
        <v>0</v>
      </c>
      <c r="BG170" s="77">
        <f>IF($U$170="zákl. přenesená",$N$170,0)</f>
        <v>0</v>
      </c>
      <c r="BH170" s="77">
        <f>IF($U$170="sníž. přenesená",$N$170,0)</f>
        <v>0</v>
      </c>
      <c r="BI170" s="77">
        <f>IF($U$170="nulová",$N$170,0)</f>
        <v>0</v>
      </c>
      <c r="BJ170" s="6" t="s">
        <v>17</v>
      </c>
      <c r="BK170" s="77">
        <f>ROUND($L$170*$K$170,2)</f>
        <v>0</v>
      </c>
      <c r="BL170" s="6" t="s">
        <v>165</v>
      </c>
    </row>
    <row r="171" spans="2:51" s="6" customFormat="1" ht="15.75" customHeight="1">
      <c r="B171" s="126"/>
      <c r="E171" s="127"/>
      <c r="F171" s="198" t="s">
        <v>224</v>
      </c>
      <c r="G171" s="199"/>
      <c r="H171" s="199"/>
      <c r="I171" s="199"/>
      <c r="K171" s="128">
        <v>2.862</v>
      </c>
      <c r="R171" s="129"/>
      <c r="T171" s="130"/>
      <c r="AA171" s="131"/>
      <c r="AT171" s="127" t="s">
        <v>167</v>
      </c>
      <c r="AU171" s="127" t="s">
        <v>102</v>
      </c>
      <c r="AV171" s="127" t="s">
        <v>102</v>
      </c>
      <c r="AW171" s="127" t="s">
        <v>109</v>
      </c>
      <c r="AX171" s="127" t="s">
        <v>17</v>
      </c>
      <c r="AY171" s="127" t="s">
        <v>160</v>
      </c>
    </row>
    <row r="172" spans="2:64" s="6" customFormat="1" ht="15.75" customHeight="1">
      <c r="B172" s="21"/>
      <c r="C172" s="119" t="s">
        <v>225</v>
      </c>
      <c r="D172" s="119" t="s">
        <v>161</v>
      </c>
      <c r="E172" s="120" t="s">
        <v>226</v>
      </c>
      <c r="F172" s="194" t="s">
        <v>227</v>
      </c>
      <c r="G172" s="195"/>
      <c r="H172" s="195"/>
      <c r="I172" s="195"/>
      <c r="J172" s="121" t="s">
        <v>164</v>
      </c>
      <c r="K172" s="122">
        <v>3.102</v>
      </c>
      <c r="L172" s="196">
        <v>0</v>
      </c>
      <c r="M172" s="195"/>
      <c r="N172" s="197">
        <f>ROUND($L$172*$K$172,2)</f>
        <v>0</v>
      </c>
      <c r="O172" s="195"/>
      <c r="P172" s="195"/>
      <c r="Q172" s="195"/>
      <c r="R172" s="22"/>
      <c r="T172" s="123"/>
      <c r="U172" s="28" t="s">
        <v>41</v>
      </c>
      <c r="V172" s="124">
        <v>0.364</v>
      </c>
      <c r="W172" s="124">
        <f>$V$172*$K$172</f>
        <v>1.129128</v>
      </c>
      <c r="X172" s="124">
        <v>0.00103</v>
      </c>
      <c r="Y172" s="124">
        <f>$X$172*$K$172</f>
        <v>0.00319506</v>
      </c>
      <c r="Z172" s="124">
        <v>0</v>
      </c>
      <c r="AA172" s="125">
        <f>$Z$172*$K$172</f>
        <v>0</v>
      </c>
      <c r="AR172" s="6" t="s">
        <v>165</v>
      </c>
      <c r="AT172" s="6" t="s">
        <v>161</v>
      </c>
      <c r="AU172" s="6" t="s">
        <v>102</v>
      </c>
      <c r="AY172" s="6" t="s">
        <v>160</v>
      </c>
      <c r="BE172" s="77">
        <f>IF($U$172="základní",$N$172,0)</f>
        <v>0</v>
      </c>
      <c r="BF172" s="77">
        <f>IF($U$172="snížená",$N$172,0)</f>
        <v>0</v>
      </c>
      <c r="BG172" s="77">
        <f>IF($U$172="zákl. přenesená",$N$172,0)</f>
        <v>0</v>
      </c>
      <c r="BH172" s="77">
        <f>IF($U$172="sníž. přenesená",$N$172,0)</f>
        <v>0</v>
      </c>
      <c r="BI172" s="77">
        <f>IF($U$172="nulová",$N$172,0)</f>
        <v>0</v>
      </c>
      <c r="BJ172" s="6" t="s">
        <v>17</v>
      </c>
      <c r="BK172" s="77">
        <f>ROUND($L$172*$K$172,2)</f>
        <v>0</v>
      </c>
      <c r="BL172" s="6" t="s">
        <v>165</v>
      </c>
    </row>
    <row r="173" spans="2:51" s="6" customFormat="1" ht="15.75" customHeight="1">
      <c r="B173" s="126"/>
      <c r="E173" s="127"/>
      <c r="F173" s="198" t="s">
        <v>228</v>
      </c>
      <c r="G173" s="199"/>
      <c r="H173" s="199"/>
      <c r="I173" s="199"/>
      <c r="K173" s="128">
        <v>3.102</v>
      </c>
      <c r="R173" s="129"/>
      <c r="T173" s="130"/>
      <c r="AA173" s="131"/>
      <c r="AT173" s="127" t="s">
        <v>167</v>
      </c>
      <c r="AU173" s="127" t="s">
        <v>102</v>
      </c>
      <c r="AV173" s="127" t="s">
        <v>102</v>
      </c>
      <c r="AW173" s="127" t="s">
        <v>109</v>
      </c>
      <c r="AX173" s="127" t="s">
        <v>17</v>
      </c>
      <c r="AY173" s="127" t="s">
        <v>160</v>
      </c>
    </row>
    <row r="174" spans="2:64" s="6" customFormat="1" ht="15.75" customHeight="1">
      <c r="B174" s="21"/>
      <c r="C174" s="119" t="s">
        <v>229</v>
      </c>
      <c r="D174" s="119" t="s">
        <v>161</v>
      </c>
      <c r="E174" s="120" t="s">
        <v>230</v>
      </c>
      <c r="F174" s="194" t="s">
        <v>231</v>
      </c>
      <c r="G174" s="195"/>
      <c r="H174" s="195"/>
      <c r="I174" s="195"/>
      <c r="J174" s="121" t="s">
        <v>164</v>
      </c>
      <c r="K174" s="122">
        <v>3.102</v>
      </c>
      <c r="L174" s="196">
        <v>0</v>
      </c>
      <c r="M174" s="195"/>
      <c r="N174" s="197">
        <f>ROUND($L$174*$K$174,2)</f>
        <v>0</v>
      </c>
      <c r="O174" s="195"/>
      <c r="P174" s="195"/>
      <c r="Q174" s="195"/>
      <c r="R174" s="22"/>
      <c r="T174" s="123"/>
      <c r="U174" s="28" t="s">
        <v>41</v>
      </c>
      <c r="V174" s="124">
        <v>0.201</v>
      </c>
      <c r="W174" s="124">
        <f>$V$174*$K$174</f>
        <v>0.623502</v>
      </c>
      <c r="X174" s="124">
        <v>0</v>
      </c>
      <c r="Y174" s="124">
        <f>$X$174*$K$174</f>
        <v>0</v>
      </c>
      <c r="Z174" s="124">
        <v>0</v>
      </c>
      <c r="AA174" s="125">
        <f>$Z$174*$K$174</f>
        <v>0</v>
      </c>
      <c r="AR174" s="6" t="s">
        <v>165</v>
      </c>
      <c r="AT174" s="6" t="s">
        <v>161</v>
      </c>
      <c r="AU174" s="6" t="s">
        <v>102</v>
      </c>
      <c r="AY174" s="6" t="s">
        <v>160</v>
      </c>
      <c r="BE174" s="77">
        <f>IF($U$174="základní",$N$174,0)</f>
        <v>0</v>
      </c>
      <c r="BF174" s="77">
        <f>IF($U$174="snížená",$N$174,0)</f>
        <v>0</v>
      </c>
      <c r="BG174" s="77">
        <f>IF($U$174="zákl. přenesená",$N$174,0)</f>
        <v>0</v>
      </c>
      <c r="BH174" s="77">
        <f>IF($U$174="sníž. přenesená",$N$174,0)</f>
        <v>0</v>
      </c>
      <c r="BI174" s="77">
        <f>IF($U$174="nulová",$N$174,0)</f>
        <v>0</v>
      </c>
      <c r="BJ174" s="6" t="s">
        <v>17</v>
      </c>
      <c r="BK174" s="77">
        <f>ROUND($L$174*$K$174,2)</f>
        <v>0</v>
      </c>
      <c r="BL174" s="6" t="s">
        <v>165</v>
      </c>
    </row>
    <row r="175" spans="2:64" s="6" customFormat="1" ht="15.75" customHeight="1">
      <c r="B175" s="21"/>
      <c r="C175" s="119" t="s">
        <v>232</v>
      </c>
      <c r="D175" s="119" t="s">
        <v>161</v>
      </c>
      <c r="E175" s="120" t="s">
        <v>233</v>
      </c>
      <c r="F175" s="194" t="s">
        <v>234</v>
      </c>
      <c r="G175" s="195"/>
      <c r="H175" s="195"/>
      <c r="I175" s="195"/>
      <c r="J175" s="121" t="s">
        <v>176</v>
      </c>
      <c r="K175" s="122">
        <v>5.117</v>
      </c>
      <c r="L175" s="196">
        <v>0</v>
      </c>
      <c r="M175" s="195"/>
      <c r="N175" s="197">
        <f>ROUND($L$175*$K$175,2)</f>
        <v>0</v>
      </c>
      <c r="O175" s="195"/>
      <c r="P175" s="195"/>
      <c r="Q175" s="195"/>
      <c r="R175" s="22"/>
      <c r="T175" s="123"/>
      <c r="U175" s="28" t="s">
        <v>41</v>
      </c>
      <c r="V175" s="124">
        <v>0.584</v>
      </c>
      <c r="W175" s="124">
        <f>$V$175*$K$175</f>
        <v>2.9883279999999997</v>
      </c>
      <c r="X175" s="124">
        <v>2.25634</v>
      </c>
      <c r="Y175" s="124">
        <f>$X$175*$K$175</f>
        <v>11.545691779999999</v>
      </c>
      <c r="Z175" s="124">
        <v>0</v>
      </c>
      <c r="AA175" s="125">
        <f>$Z$175*$K$175</f>
        <v>0</v>
      </c>
      <c r="AR175" s="6" t="s">
        <v>165</v>
      </c>
      <c r="AT175" s="6" t="s">
        <v>161</v>
      </c>
      <c r="AU175" s="6" t="s">
        <v>102</v>
      </c>
      <c r="AY175" s="6" t="s">
        <v>160</v>
      </c>
      <c r="BE175" s="77">
        <f>IF($U$175="základní",$N$175,0)</f>
        <v>0</v>
      </c>
      <c r="BF175" s="77">
        <f>IF($U$175="snížená",$N$175,0)</f>
        <v>0</v>
      </c>
      <c r="BG175" s="77">
        <f>IF($U$175="zákl. přenesená",$N$175,0)</f>
        <v>0</v>
      </c>
      <c r="BH175" s="77">
        <f>IF($U$175="sníž. přenesená",$N$175,0)</f>
        <v>0</v>
      </c>
      <c r="BI175" s="77">
        <f>IF($U$175="nulová",$N$175,0)</f>
        <v>0</v>
      </c>
      <c r="BJ175" s="6" t="s">
        <v>17</v>
      </c>
      <c r="BK175" s="77">
        <f>ROUND($L$175*$K$175,2)</f>
        <v>0</v>
      </c>
      <c r="BL175" s="6" t="s">
        <v>165</v>
      </c>
    </row>
    <row r="176" spans="2:51" s="6" customFormat="1" ht="15.75" customHeight="1">
      <c r="B176" s="126"/>
      <c r="E176" s="127"/>
      <c r="F176" s="198" t="s">
        <v>235</v>
      </c>
      <c r="G176" s="199"/>
      <c r="H176" s="199"/>
      <c r="I176" s="199"/>
      <c r="K176" s="128">
        <v>3.492</v>
      </c>
      <c r="R176" s="129"/>
      <c r="T176" s="130"/>
      <c r="AA176" s="131"/>
      <c r="AT176" s="127" t="s">
        <v>167</v>
      </c>
      <c r="AU176" s="127" t="s">
        <v>102</v>
      </c>
      <c r="AV176" s="127" t="s">
        <v>102</v>
      </c>
      <c r="AW176" s="127" t="s">
        <v>109</v>
      </c>
      <c r="AX176" s="127" t="s">
        <v>76</v>
      </c>
      <c r="AY176" s="127" t="s">
        <v>160</v>
      </c>
    </row>
    <row r="177" spans="2:51" s="6" customFormat="1" ht="15.75" customHeight="1">
      <c r="B177" s="126"/>
      <c r="E177" s="127"/>
      <c r="F177" s="198" t="s">
        <v>236</v>
      </c>
      <c r="G177" s="199"/>
      <c r="H177" s="199"/>
      <c r="I177" s="199"/>
      <c r="K177" s="128">
        <v>1.625</v>
      </c>
      <c r="R177" s="129"/>
      <c r="T177" s="130"/>
      <c r="AA177" s="131"/>
      <c r="AT177" s="127" t="s">
        <v>167</v>
      </c>
      <c r="AU177" s="127" t="s">
        <v>102</v>
      </c>
      <c r="AV177" s="127" t="s">
        <v>102</v>
      </c>
      <c r="AW177" s="127" t="s">
        <v>109</v>
      </c>
      <c r="AX177" s="127" t="s">
        <v>76</v>
      </c>
      <c r="AY177" s="127" t="s">
        <v>160</v>
      </c>
    </row>
    <row r="178" spans="2:51" s="6" customFormat="1" ht="15.75" customHeight="1">
      <c r="B178" s="132"/>
      <c r="E178" s="133"/>
      <c r="F178" s="200" t="s">
        <v>191</v>
      </c>
      <c r="G178" s="201"/>
      <c r="H178" s="201"/>
      <c r="I178" s="201"/>
      <c r="K178" s="134">
        <v>5.117</v>
      </c>
      <c r="R178" s="135"/>
      <c r="T178" s="136"/>
      <c r="AA178" s="137"/>
      <c r="AT178" s="133" t="s">
        <v>167</v>
      </c>
      <c r="AU178" s="133" t="s">
        <v>102</v>
      </c>
      <c r="AV178" s="133" t="s">
        <v>165</v>
      </c>
      <c r="AW178" s="133" t="s">
        <v>109</v>
      </c>
      <c r="AX178" s="133" t="s">
        <v>17</v>
      </c>
      <c r="AY178" s="133" t="s">
        <v>160</v>
      </c>
    </row>
    <row r="179" spans="2:64" s="6" customFormat="1" ht="15.75" customHeight="1">
      <c r="B179" s="21"/>
      <c r="C179" s="119" t="s">
        <v>237</v>
      </c>
      <c r="D179" s="119" t="s">
        <v>161</v>
      </c>
      <c r="E179" s="120" t="s">
        <v>238</v>
      </c>
      <c r="F179" s="194" t="s">
        <v>239</v>
      </c>
      <c r="G179" s="195"/>
      <c r="H179" s="195"/>
      <c r="I179" s="195"/>
      <c r="J179" s="121" t="s">
        <v>164</v>
      </c>
      <c r="K179" s="122">
        <v>4.45</v>
      </c>
      <c r="L179" s="196">
        <v>0</v>
      </c>
      <c r="M179" s="195"/>
      <c r="N179" s="197">
        <f>ROUND($L$179*$K$179,2)</f>
        <v>0</v>
      </c>
      <c r="O179" s="195"/>
      <c r="P179" s="195"/>
      <c r="Q179" s="195"/>
      <c r="R179" s="22"/>
      <c r="T179" s="123"/>
      <c r="U179" s="28" t="s">
        <v>41</v>
      </c>
      <c r="V179" s="124">
        <v>0.364</v>
      </c>
      <c r="W179" s="124">
        <f>$V$179*$K$179</f>
        <v>1.6198000000000001</v>
      </c>
      <c r="X179" s="124">
        <v>0.00103</v>
      </c>
      <c r="Y179" s="124">
        <f>$X$179*$K$179</f>
        <v>0.004583500000000001</v>
      </c>
      <c r="Z179" s="124">
        <v>0</v>
      </c>
      <c r="AA179" s="125">
        <f>$Z$179*$K$179</f>
        <v>0</v>
      </c>
      <c r="AR179" s="6" t="s">
        <v>165</v>
      </c>
      <c r="AT179" s="6" t="s">
        <v>161</v>
      </c>
      <c r="AU179" s="6" t="s">
        <v>102</v>
      </c>
      <c r="AY179" s="6" t="s">
        <v>160</v>
      </c>
      <c r="BE179" s="77">
        <f>IF($U$179="základní",$N$179,0)</f>
        <v>0</v>
      </c>
      <c r="BF179" s="77">
        <f>IF($U$179="snížená",$N$179,0)</f>
        <v>0</v>
      </c>
      <c r="BG179" s="77">
        <f>IF($U$179="zákl. přenesená",$N$179,0)</f>
        <v>0</v>
      </c>
      <c r="BH179" s="77">
        <f>IF($U$179="sníž. přenesená",$N$179,0)</f>
        <v>0</v>
      </c>
      <c r="BI179" s="77">
        <f>IF($U$179="nulová",$N$179,0)</f>
        <v>0</v>
      </c>
      <c r="BJ179" s="6" t="s">
        <v>17</v>
      </c>
      <c r="BK179" s="77">
        <f>ROUND($L$179*$K$179,2)</f>
        <v>0</v>
      </c>
      <c r="BL179" s="6" t="s">
        <v>165</v>
      </c>
    </row>
    <row r="180" spans="2:51" s="6" customFormat="1" ht="27" customHeight="1">
      <c r="B180" s="126"/>
      <c r="E180" s="127"/>
      <c r="F180" s="198" t="s">
        <v>240</v>
      </c>
      <c r="G180" s="199"/>
      <c r="H180" s="199"/>
      <c r="I180" s="199"/>
      <c r="K180" s="128">
        <v>4.45</v>
      </c>
      <c r="R180" s="129"/>
      <c r="T180" s="130"/>
      <c r="AA180" s="131"/>
      <c r="AT180" s="127" t="s">
        <v>167</v>
      </c>
      <c r="AU180" s="127" t="s">
        <v>102</v>
      </c>
      <c r="AV180" s="127" t="s">
        <v>102</v>
      </c>
      <c r="AW180" s="127" t="s">
        <v>109</v>
      </c>
      <c r="AX180" s="127" t="s">
        <v>17</v>
      </c>
      <c r="AY180" s="127" t="s">
        <v>160</v>
      </c>
    </row>
    <row r="181" spans="2:64" s="6" customFormat="1" ht="15.75" customHeight="1">
      <c r="B181" s="21"/>
      <c r="C181" s="119" t="s">
        <v>7</v>
      </c>
      <c r="D181" s="119" t="s">
        <v>161</v>
      </c>
      <c r="E181" s="120" t="s">
        <v>241</v>
      </c>
      <c r="F181" s="194" t="s">
        <v>242</v>
      </c>
      <c r="G181" s="195"/>
      <c r="H181" s="195"/>
      <c r="I181" s="195"/>
      <c r="J181" s="121" t="s">
        <v>164</v>
      </c>
      <c r="K181" s="122">
        <v>4.45</v>
      </c>
      <c r="L181" s="196">
        <v>0</v>
      </c>
      <c r="M181" s="195"/>
      <c r="N181" s="197">
        <f>ROUND($L$181*$K$181,2)</f>
        <v>0</v>
      </c>
      <c r="O181" s="195"/>
      <c r="P181" s="195"/>
      <c r="Q181" s="195"/>
      <c r="R181" s="22"/>
      <c r="T181" s="123"/>
      <c r="U181" s="28" t="s">
        <v>41</v>
      </c>
      <c r="V181" s="124">
        <v>0.201</v>
      </c>
      <c r="W181" s="124">
        <f>$V$181*$K$181</f>
        <v>0.8944500000000001</v>
      </c>
      <c r="X181" s="124">
        <v>0</v>
      </c>
      <c r="Y181" s="124">
        <f>$X$181*$K$181</f>
        <v>0</v>
      </c>
      <c r="Z181" s="124">
        <v>0</v>
      </c>
      <c r="AA181" s="125">
        <f>$Z$181*$K$181</f>
        <v>0</v>
      </c>
      <c r="AR181" s="6" t="s">
        <v>165</v>
      </c>
      <c r="AT181" s="6" t="s">
        <v>161</v>
      </c>
      <c r="AU181" s="6" t="s">
        <v>102</v>
      </c>
      <c r="AY181" s="6" t="s">
        <v>160</v>
      </c>
      <c r="BE181" s="77">
        <f>IF($U$181="základní",$N$181,0)</f>
        <v>0</v>
      </c>
      <c r="BF181" s="77">
        <f>IF($U$181="snížená",$N$181,0)</f>
        <v>0</v>
      </c>
      <c r="BG181" s="77">
        <f>IF($U$181="zákl. přenesená",$N$181,0)</f>
        <v>0</v>
      </c>
      <c r="BH181" s="77">
        <f>IF($U$181="sníž. přenesená",$N$181,0)</f>
        <v>0</v>
      </c>
      <c r="BI181" s="77">
        <f>IF($U$181="nulová",$N$181,0)</f>
        <v>0</v>
      </c>
      <c r="BJ181" s="6" t="s">
        <v>17</v>
      </c>
      <c r="BK181" s="77">
        <f>ROUND($L$181*$K$181,2)</f>
        <v>0</v>
      </c>
      <c r="BL181" s="6" t="s">
        <v>165</v>
      </c>
    </row>
    <row r="182" spans="2:63" s="109" customFormat="1" ht="30.75" customHeight="1">
      <c r="B182" s="110"/>
      <c r="D182" s="118" t="s">
        <v>113</v>
      </c>
      <c r="N182" s="210">
        <f>$BK$182</f>
        <v>0</v>
      </c>
      <c r="O182" s="209"/>
      <c r="P182" s="209"/>
      <c r="Q182" s="209"/>
      <c r="R182" s="113"/>
      <c r="T182" s="114"/>
      <c r="W182" s="115">
        <f>SUM($W$183:$W$208)</f>
        <v>110.632331</v>
      </c>
      <c r="Y182" s="115">
        <f>SUM($Y$183:$Y$208)</f>
        <v>35.74441143000001</v>
      </c>
      <c r="AA182" s="116">
        <f>SUM($AA$183:$AA$208)</f>
        <v>0</v>
      </c>
      <c r="AR182" s="112" t="s">
        <v>17</v>
      </c>
      <c r="AT182" s="112" t="s">
        <v>75</v>
      </c>
      <c r="AU182" s="112" t="s">
        <v>17</v>
      </c>
      <c r="AY182" s="112" t="s">
        <v>160</v>
      </c>
      <c r="BK182" s="117">
        <f>SUM($BK$183:$BK$208)</f>
        <v>0</v>
      </c>
    </row>
    <row r="183" spans="2:64" s="6" customFormat="1" ht="27" customHeight="1">
      <c r="B183" s="21"/>
      <c r="C183" s="119" t="s">
        <v>243</v>
      </c>
      <c r="D183" s="119" t="s">
        <v>161</v>
      </c>
      <c r="E183" s="120" t="s">
        <v>244</v>
      </c>
      <c r="F183" s="194" t="s">
        <v>245</v>
      </c>
      <c r="G183" s="195"/>
      <c r="H183" s="195"/>
      <c r="I183" s="195"/>
      <c r="J183" s="121" t="s">
        <v>176</v>
      </c>
      <c r="K183" s="122">
        <v>7.457</v>
      </c>
      <c r="L183" s="196">
        <v>0</v>
      </c>
      <c r="M183" s="195"/>
      <c r="N183" s="197">
        <f>ROUND($L$183*$K$183,2)</f>
        <v>0</v>
      </c>
      <c r="O183" s="195"/>
      <c r="P183" s="195"/>
      <c r="Q183" s="195"/>
      <c r="R183" s="22"/>
      <c r="T183" s="123"/>
      <c r="U183" s="28" t="s">
        <v>41</v>
      </c>
      <c r="V183" s="124">
        <v>6.773</v>
      </c>
      <c r="W183" s="124">
        <f>$V$183*$K$183</f>
        <v>50.506260999999995</v>
      </c>
      <c r="X183" s="124">
        <v>2.67206</v>
      </c>
      <c r="Y183" s="124">
        <f>$X$183*$K$183</f>
        <v>19.92555142</v>
      </c>
      <c r="Z183" s="124">
        <v>0</v>
      </c>
      <c r="AA183" s="125">
        <f>$Z$183*$K$183</f>
        <v>0</v>
      </c>
      <c r="AR183" s="6" t="s">
        <v>165</v>
      </c>
      <c r="AT183" s="6" t="s">
        <v>161</v>
      </c>
      <c r="AU183" s="6" t="s">
        <v>102</v>
      </c>
      <c r="AY183" s="6" t="s">
        <v>160</v>
      </c>
      <c r="BE183" s="77">
        <f>IF($U$183="základní",$N$183,0)</f>
        <v>0</v>
      </c>
      <c r="BF183" s="77">
        <f>IF($U$183="snížená",$N$183,0)</f>
        <v>0</v>
      </c>
      <c r="BG183" s="77">
        <f>IF($U$183="zákl. přenesená",$N$183,0)</f>
        <v>0</v>
      </c>
      <c r="BH183" s="77">
        <f>IF($U$183="sníž. přenesená",$N$183,0)</f>
        <v>0</v>
      </c>
      <c r="BI183" s="77">
        <f>IF($U$183="nulová",$N$183,0)</f>
        <v>0</v>
      </c>
      <c r="BJ183" s="6" t="s">
        <v>17</v>
      </c>
      <c r="BK183" s="77">
        <f>ROUND($L$183*$K$183,2)</f>
        <v>0</v>
      </c>
      <c r="BL183" s="6" t="s">
        <v>165</v>
      </c>
    </row>
    <row r="184" spans="2:51" s="6" customFormat="1" ht="15.75" customHeight="1">
      <c r="B184" s="126"/>
      <c r="E184" s="127"/>
      <c r="F184" s="198" t="s">
        <v>246</v>
      </c>
      <c r="G184" s="199"/>
      <c r="H184" s="199"/>
      <c r="I184" s="199"/>
      <c r="K184" s="128">
        <v>1.8</v>
      </c>
      <c r="R184" s="129"/>
      <c r="T184" s="130"/>
      <c r="AA184" s="131"/>
      <c r="AT184" s="127" t="s">
        <v>167</v>
      </c>
      <c r="AU184" s="127" t="s">
        <v>102</v>
      </c>
      <c r="AV184" s="127" t="s">
        <v>102</v>
      </c>
      <c r="AW184" s="127" t="s">
        <v>109</v>
      </c>
      <c r="AX184" s="127" t="s">
        <v>76</v>
      </c>
      <c r="AY184" s="127" t="s">
        <v>160</v>
      </c>
    </row>
    <row r="185" spans="2:51" s="6" customFormat="1" ht="27" customHeight="1">
      <c r="B185" s="126"/>
      <c r="E185" s="127"/>
      <c r="F185" s="198" t="s">
        <v>247</v>
      </c>
      <c r="G185" s="199"/>
      <c r="H185" s="199"/>
      <c r="I185" s="199"/>
      <c r="K185" s="128">
        <v>0.201</v>
      </c>
      <c r="R185" s="129"/>
      <c r="T185" s="130"/>
      <c r="AA185" s="131"/>
      <c r="AT185" s="127" t="s">
        <v>167</v>
      </c>
      <c r="AU185" s="127" t="s">
        <v>102</v>
      </c>
      <c r="AV185" s="127" t="s">
        <v>102</v>
      </c>
      <c r="AW185" s="127" t="s">
        <v>109</v>
      </c>
      <c r="AX185" s="127" t="s">
        <v>76</v>
      </c>
      <c r="AY185" s="127" t="s">
        <v>160</v>
      </c>
    </row>
    <row r="186" spans="2:51" s="6" customFormat="1" ht="27" customHeight="1">
      <c r="B186" s="126"/>
      <c r="E186" s="127"/>
      <c r="F186" s="198" t="s">
        <v>248</v>
      </c>
      <c r="G186" s="199"/>
      <c r="H186" s="199"/>
      <c r="I186" s="199"/>
      <c r="K186" s="128">
        <v>5.213</v>
      </c>
      <c r="R186" s="129"/>
      <c r="T186" s="130"/>
      <c r="AA186" s="131"/>
      <c r="AT186" s="127" t="s">
        <v>167</v>
      </c>
      <c r="AU186" s="127" t="s">
        <v>102</v>
      </c>
      <c r="AV186" s="127" t="s">
        <v>102</v>
      </c>
      <c r="AW186" s="127" t="s">
        <v>109</v>
      </c>
      <c r="AX186" s="127" t="s">
        <v>76</v>
      </c>
      <c r="AY186" s="127" t="s">
        <v>160</v>
      </c>
    </row>
    <row r="187" spans="2:51" s="6" customFormat="1" ht="15.75" customHeight="1">
      <c r="B187" s="126"/>
      <c r="E187" s="127"/>
      <c r="F187" s="198" t="s">
        <v>249</v>
      </c>
      <c r="G187" s="199"/>
      <c r="H187" s="199"/>
      <c r="I187" s="199"/>
      <c r="K187" s="128">
        <v>0.243</v>
      </c>
      <c r="R187" s="129"/>
      <c r="T187" s="130"/>
      <c r="AA187" s="131"/>
      <c r="AT187" s="127" t="s">
        <v>167</v>
      </c>
      <c r="AU187" s="127" t="s">
        <v>102</v>
      </c>
      <c r="AV187" s="127" t="s">
        <v>102</v>
      </c>
      <c r="AW187" s="127" t="s">
        <v>109</v>
      </c>
      <c r="AX187" s="127" t="s">
        <v>76</v>
      </c>
      <c r="AY187" s="127" t="s">
        <v>160</v>
      </c>
    </row>
    <row r="188" spans="2:51" s="6" customFormat="1" ht="15.75" customHeight="1">
      <c r="B188" s="132"/>
      <c r="E188" s="133"/>
      <c r="F188" s="200" t="s">
        <v>191</v>
      </c>
      <c r="G188" s="201"/>
      <c r="H188" s="201"/>
      <c r="I188" s="201"/>
      <c r="K188" s="134">
        <v>7.457</v>
      </c>
      <c r="R188" s="135"/>
      <c r="T188" s="136"/>
      <c r="AA188" s="137"/>
      <c r="AT188" s="133" t="s">
        <v>167</v>
      </c>
      <c r="AU188" s="133" t="s">
        <v>102</v>
      </c>
      <c r="AV188" s="133" t="s">
        <v>165</v>
      </c>
      <c r="AW188" s="133" t="s">
        <v>109</v>
      </c>
      <c r="AX188" s="133" t="s">
        <v>17</v>
      </c>
      <c r="AY188" s="133" t="s">
        <v>160</v>
      </c>
    </row>
    <row r="189" spans="2:64" s="6" customFormat="1" ht="27" customHeight="1">
      <c r="B189" s="21"/>
      <c r="C189" s="119" t="s">
        <v>250</v>
      </c>
      <c r="D189" s="119" t="s">
        <v>161</v>
      </c>
      <c r="E189" s="120" t="s">
        <v>251</v>
      </c>
      <c r="F189" s="194" t="s">
        <v>252</v>
      </c>
      <c r="G189" s="195"/>
      <c r="H189" s="195"/>
      <c r="I189" s="195"/>
      <c r="J189" s="121" t="s">
        <v>164</v>
      </c>
      <c r="K189" s="122">
        <v>32.611</v>
      </c>
      <c r="L189" s="196">
        <v>0</v>
      </c>
      <c r="M189" s="195"/>
      <c r="N189" s="197">
        <f>ROUND($L$189*$K$189,2)</f>
        <v>0</v>
      </c>
      <c r="O189" s="195"/>
      <c r="P189" s="195"/>
      <c r="Q189" s="195"/>
      <c r="R189" s="22"/>
      <c r="T189" s="123"/>
      <c r="U189" s="28" t="s">
        <v>41</v>
      </c>
      <c r="V189" s="124">
        <v>0.83</v>
      </c>
      <c r="W189" s="124">
        <f>$V$189*$K$189</f>
        <v>27.067129999999995</v>
      </c>
      <c r="X189" s="124">
        <v>0.26119</v>
      </c>
      <c r="Y189" s="124">
        <f>$X$189*$K$189</f>
        <v>8.517667089999998</v>
      </c>
      <c r="Z189" s="124">
        <v>0</v>
      </c>
      <c r="AA189" s="125">
        <f>$Z$189*$K$189</f>
        <v>0</v>
      </c>
      <c r="AR189" s="6" t="s">
        <v>165</v>
      </c>
      <c r="AT189" s="6" t="s">
        <v>161</v>
      </c>
      <c r="AU189" s="6" t="s">
        <v>102</v>
      </c>
      <c r="AY189" s="6" t="s">
        <v>160</v>
      </c>
      <c r="BE189" s="77">
        <f>IF($U$189="základní",$N$189,0)</f>
        <v>0</v>
      </c>
      <c r="BF189" s="77">
        <f>IF($U$189="snížená",$N$189,0)</f>
        <v>0</v>
      </c>
      <c r="BG189" s="77">
        <f>IF($U$189="zákl. přenesená",$N$189,0)</f>
        <v>0</v>
      </c>
      <c r="BH189" s="77">
        <f>IF($U$189="sníž. přenesená",$N$189,0)</f>
        <v>0</v>
      </c>
      <c r="BI189" s="77">
        <f>IF($U$189="nulová",$N$189,0)</f>
        <v>0</v>
      </c>
      <c r="BJ189" s="6" t="s">
        <v>17</v>
      </c>
      <c r="BK189" s="77">
        <f>ROUND($L$189*$K$189,2)</f>
        <v>0</v>
      </c>
      <c r="BL189" s="6" t="s">
        <v>165</v>
      </c>
    </row>
    <row r="190" spans="2:51" s="6" customFormat="1" ht="15.75" customHeight="1">
      <c r="B190" s="126"/>
      <c r="E190" s="127"/>
      <c r="F190" s="198" t="s">
        <v>253</v>
      </c>
      <c r="G190" s="199"/>
      <c r="H190" s="199"/>
      <c r="I190" s="199"/>
      <c r="K190" s="128">
        <v>7.376</v>
      </c>
      <c r="R190" s="129"/>
      <c r="T190" s="130"/>
      <c r="AA190" s="131"/>
      <c r="AT190" s="127" t="s">
        <v>167</v>
      </c>
      <c r="AU190" s="127" t="s">
        <v>102</v>
      </c>
      <c r="AV190" s="127" t="s">
        <v>102</v>
      </c>
      <c r="AW190" s="127" t="s">
        <v>109</v>
      </c>
      <c r="AX190" s="127" t="s">
        <v>76</v>
      </c>
      <c r="AY190" s="127" t="s">
        <v>160</v>
      </c>
    </row>
    <row r="191" spans="2:51" s="6" customFormat="1" ht="27" customHeight="1">
      <c r="B191" s="126"/>
      <c r="E191" s="127"/>
      <c r="F191" s="198" t="s">
        <v>254</v>
      </c>
      <c r="G191" s="199"/>
      <c r="H191" s="199"/>
      <c r="I191" s="199"/>
      <c r="K191" s="128">
        <v>25.235</v>
      </c>
      <c r="R191" s="129"/>
      <c r="T191" s="130"/>
      <c r="AA191" s="131"/>
      <c r="AT191" s="127" t="s">
        <v>167</v>
      </c>
      <c r="AU191" s="127" t="s">
        <v>102</v>
      </c>
      <c r="AV191" s="127" t="s">
        <v>102</v>
      </c>
      <c r="AW191" s="127" t="s">
        <v>109</v>
      </c>
      <c r="AX191" s="127" t="s">
        <v>76</v>
      </c>
      <c r="AY191" s="127" t="s">
        <v>160</v>
      </c>
    </row>
    <row r="192" spans="2:51" s="6" customFormat="1" ht="15.75" customHeight="1">
      <c r="B192" s="132"/>
      <c r="E192" s="133"/>
      <c r="F192" s="200" t="s">
        <v>191</v>
      </c>
      <c r="G192" s="201"/>
      <c r="H192" s="201"/>
      <c r="I192" s="201"/>
      <c r="K192" s="134">
        <v>32.611</v>
      </c>
      <c r="R192" s="135"/>
      <c r="T192" s="136"/>
      <c r="AA192" s="137"/>
      <c r="AT192" s="133" t="s">
        <v>167</v>
      </c>
      <c r="AU192" s="133" t="s">
        <v>102</v>
      </c>
      <c r="AV192" s="133" t="s">
        <v>165</v>
      </c>
      <c r="AW192" s="133" t="s">
        <v>109</v>
      </c>
      <c r="AX192" s="133" t="s">
        <v>17</v>
      </c>
      <c r="AY192" s="133" t="s">
        <v>160</v>
      </c>
    </row>
    <row r="193" spans="2:64" s="6" customFormat="1" ht="15.75" customHeight="1">
      <c r="B193" s="21"/>
      <c r="C193" s="119" t="s">
        <v>255</v>
      </c>
      <c r="D193" s="119" t="s">
        <v>161</v>
      </c>
      <c r="E193" s="120" t="s">
        <v>256</v>
      </c>
      <c r="F193" s="194" t="s">
        <v>257</v>
      </c>
      <c r="G193" s="195"/>
      <c r="H193" s="195"/>
      <c r="I193" s="195"/>
      <c r="J193" s="121" t="s">
        <v>213</v>
      </c>
      <c r="K193" s="122">
        <v>9</v>
      </c>
      <c r="L193" s="196">
        <v>0</v>
      </c>
      <c r="M193" s="195"/>
      <c r="N193" s="197">
        <f>ROUND($L$193*$K$193,2)</f>
        <v>0</v>
      </c>
      <c r="O193" s="195"/>
      <c r="P193" s="195"/>
      <c r="Q193" s="195"/>
      <c r="R193" s="22"/>
      <c r="T193" s="123"/>
      <c r="U193" s="28" t="s">
        <v>41</v>
      </c>
      <c r="V193" s="124">
        <v>0.253</v>
      </c>
      <c r="W193" s="124">
        <f>$V$193*$K$193</f>
        <v>2.277</v>
      </c>
      <c r="X193" s="124">
        <v>0.04645</v>
      </c>
      <c r="Y193" s="124">
        <f>$X$193*$K$193</f>
        <v>0.41805</v>
      </c>
      <c r="Z193" s="124">
        <v>0</v>
      </c>
      <c r="AA193" s="125">
        <f>$Z$193*$K$193</f>
        <v>0</v>
      </c>
      <c r="AR193" s="6" t="s">
        <v>165</v>
      </c>
      <c r="AT193" s="6" t="s">
        <v>161</v>
      </c>
      <c r="AU193" s="6" t="s">
        <v>102</v>
      </c>
      <c r="AY193" s="6" t="s">
        <v>160</v>
      </c>
      <c r="BE193" s="77">
        <f>IF($U$193="základní",$N$193,0)</f>
        <v>0</v>
      </c>
      <c r="BF193" s="77">
        <f>IF($U$193="snížená",$N$193,0)</f>
        <v>0</v>
      </c>
      <c r="BG193" s="77">
        <f>IF($U$193="zákl. přenesená",$N$193,0)</f>
        <v>0</v>
      </c>
      <c r="BH193" s="77">
        <f>IF($U$193="sníž. přenesená",$N$193,0)</f>
        <v>0</v>
      </c>
      <c r="BI193" s="77">
        <f>IF($U$193="nulová",$N$193,0)</f>
        <v>0</v>
      </c>
      <c r="BJ193" s="6" t="s">
        <v>17</v>
      </c>
      <c r="BK193" s="77">
        <f>ROUND($L$193*$K$193,2)</f>
        <v>0</v>
      </c>
      <c r="BL193" s="6" t="s">
        <v>165</v>
      </c>
    </row>
    <row r="194" spans="2:64" s="6" customFormat="1" ht="15.75" customHeight="1">
      <c r="B194" s="21"/>
      <c r="C194" s="119" t="s">
        <v>258</v>
      </c>
      <c r="D194" s="119" t="s">
        <v>161</v>
      </c>
      <c r="E194" s="120" t="s">
        <v>259</v>
      </c>
      <c r="F194" s="194" t="s">
        <v>260</v>
      </c>
      <c r="G194" s="195"/>
      <c r="H194" s="195"/>
      <c r="I194" s="195"/>
      <c r="J194" s="121" t="s">
        <v>213</v>
      </c>
      <c r="K194" s="122">
        <v>3</v>
      </c>
      <c r="L194" s="196">
        <v>0</v>
      </c>
      <c r="M194" s="195"/>
      <c r="N194" s="197">
        <f>ROUND($L$194*$K$194,2)</f>
        <v>0</v>
      </c>
      <c r="O194" s="195"/>
      <c r="P194" s="195"/>
      <c r="Q194" s="195"/>
      <c r="R194" s="22"/>
      <c r="T194" s="123"/>
      <c r="U194" s="28" t="s">
        <v>41</v>
      </c>
      <c r="V194" s="124">
        <v>0.26</v>
      </c>
      <c r="W194" s="124">
        <f>$V$194*$K$194</f>
        <v>0.78</v>
      </c>
      <c r="X194" s="124">
        <v>0.05563</v>
      </c>
      <c r="Y194" s="124">
        <f>$X$194*$K$194</f>
        <v>0.16688999999999998</v>
      </c>
      <c r="Z194" s="124">
        <v>0</v>
      </c>
      <c r="AA194" s="125">
        <f>$Z$194*$K$194</f>
        <v>0</v>
      </c>
      <c r="AR194" s="6" t="s">
        <v>165</v>
      </c>
      <c r="AT194" s="6" t="s">
        <v>161</v>
      </c>
      <c r="AU194" s="6" t="s">
        <v>102</v>
      </c>
      <c r="AY194" s="6" t="s">
        <v>160</v>
      </c>
      <c r="BE194" s="77">
        <f>IF($U$194="základní",$N$194,0)</f>
        <v>0</v>
      </c>
      <c r="BF194" s="77">
        <f>IF($U$194="snížená",$N$194,0)</f>
        <v>0</v>
      </c>
      <c r="BG194" s="77">
        <f>IF($U$194="zákl. přenesená",$N$194,0)</f>
        <v>0</v>
      </c>
      <c r="BH194" s="77">
        <f>IF($U$194="sníž. přenesená",$N$194,0)</f>
        <v>0</v>
      </c>
      <c r="BI194" s="77">
        <f>IF($U$194="nulová",$N$194,0)</f>
        <v>0</v>
      </c>
      <c r="BJ194" s="6" t="s">
        <v>17</v>
      </c>
      <c r="BK194" s="77">
        <f>ROUND($L$194*$K$194,2)</f>
        <v>0</v>
      </c>
      <c r="BL194" s="6" t="s">
        <v>165</v>
      </c>
    </row>
    <row r="195" spans="2:64" s="6" customFormat="1" ht="15.75" customHeight="1">
      <c r="B195" s="21"/>
      <c r="C195" s="119" t="s">
        <v>261</v>
      </c>
      <c r="D195" s="119" t="s">
        <v>161</v>
      </c>
      <c r="E195" s="120" t="s">
        <v>262</v>
      </c>
      <c r="F195" s="194" t="s">
        <v>263</v>
      </c>
      <c r="G195" s="195"/>
      <c r="H195" s="195"/>
      <c r="I195" s="195"/>
      <c r="J195" s="121" t="s">
        <v>213</v>
      </c>
      <c r="K195" s="122">
        <v>3</v>
      </c>
      <c r="L195" s="196">
        <v>0</v>
      </c>
      <c r="M195" s="195"/>
      <c r="N195" s="197">
        <f>ROUND($L$195*$K$195,2)</f>
        <v>0</v>
      </c>
      <c r="O195" s="195"/>
      <c r="P195" s="195"/>
      <c r="Q195" s="195"/>
      <c r="R195" s="22"/>
      <c r="T195" s="123"/>
      <c r="U195" s="28" t="s">
        <v>41</v>
      </c>
      <c r="V195" s="124">
        <v>0.268</v>
      </c>
      <c r="W195" s="124">
        <f>$V$195*$K$195</f>
        <v>0.804</v>
      </c>
      <c r="X195" s="124">
        <v>0.06481</v>
      </c>
      <c r="Y195" s="124">
        <f>$X$195*$K$195</f>
        <v>0.19443000000000002</v>
      </c>
      <c r="Z195" s="124">
        <v>0</v>
      </c>
      <c r="AA195" s="125">
        <f>$Z$195*$K$195</f>
        <v>0</v>
      </c>
      <c r="AR195" s="6" t="s">
        <v>165</v>
      </c>
      <c r="AT195" s="6" t="s">
        <v>161</v>
      </c>
      <c r="AU195" s="6" t="s">
        <v>102</v>
      </c>
      <c r="AY195" s="6" t="s">
        <v>160</v>
      </c>
      <c r="BE195" s="77">
        <f>IF($U$195="základní",$N$195,0)</f>
        <v>0</v>
      </c>
      <c r="BF195" s="77">
        <f>IF($U$195="snížená",$N$195,0)</f>
        <v>0</v>
      </c>
      <c r="BG195" s="77">
        <f>IF($U$195="zákl. přenesená",$N$195,0)</f>
        <v>0</v>
      </c>
      <c r="BH195" s="77">
        <f>IF($U$195="sníž. přenesená",$N$195,0)</f>
        <v>0</v>
      </c>
      <c r="BI195" s="77">
        <f>IF($U$195="nulová",$N$195,0)</f>
        <v>0</v>
      </c>
      <c r="BJ195" s="6" t="s">
        <v>17</v>
      </c>
      <c r="BK195" s="77">
        <f>ROUND($L$195*$K$195,2)</f>
        <v>0</v>
      </c>
      <c r="BL195" s="6" t="s">
        <v>165</v>
      </c>
    </row>
    <row r="196" spans="2:64" s="6" customFormat="1" ht="15.75" customHeight="1">
      <c r="B196" s="21"/>
      <c r="C196" s="119" t="s">
        <v>264</v>
      </c>
      <c r="D196" s="119" t="s">
        <v>161</v>
      </c>
      <c r="E196" s="120" t="s">
        <v>265</v>
      </c>
      <c r="F196" s="194" t="s">
        <v>266</v>
      </c>
      <c r="G196" s="195"/>
      <c r="H196" s="195"/>
      <c r="I196" s="195"/>
      <c r="J196" s="121" t="s">
        <v>213</v>
      </c>
      <c r="K196" s="122">
        <v>3</v>
      </c>
      <c r="L196" s="196">
        <v>0</v>
      </c>
      <c r="M196" s="195"/>
      <c r="N196" s="197">
        <f>ROUND($L$196*$K$196,2)</f>
        <v>0</v>
      </c>
      <c r="O196" s="195"/>
      <c r="P196" s="195"/>
      <c r="Q196" s="195"/>
      <c r="R196" s="22"/>
      <c r="T196" s="123"/>
      <c r="U196" s="28" t="s">
        <v>41</v>
      </c>
      <c r="V196" s="124">
        <v>0.3</v>
      </c>
      <c r="W196" s="124">
        <f>$V$196*$K$196</f>
        <v>0.8999999999999999</v>
      </c>
      <c r="X196" s="124">
        <v>0.07429</v>
      </c>
      <c r="Y196" s="124">
        <f>$X$196*$K$196</f>
        <v>0.22286999999999998</v>
      </c>
      <c r="Z196" s="124">
        <v>0</v>
      </c>
      <c r="AA196" s="125">
        <f>$Z$196*$K$196</f>
        <v>0</v>
      </c>
      <c r="AR196" s="6" t="s">
        <v>165</v>
      </c>
      <c r="AT196" s="6" t="s">
        <v>161</v>
      </c>
      <c r="AU196" s="6" t="s">
        <v>102</v>
      </c>
      <c r="AY196" s="6" t="s">
        <v>160</v>
      </c>
      <c r="BE196" s="77">
        <f>IF($U$196="základní",$N$196,0)</f>
        <v>0</v>
      </c>
      <c r="BF196" s="77">
        <f>IF($U$196="snížená",$N$196,0)</f>
        <v>0</v>
      </c>
      <c r="BG196" s="77">
        <f>IF($U$196="zákl. přenesená",$N$196,0)</f>
        <v>0</v>
      </c>
      <c r="BH196" s="77">
        <f>IF($U$196="sníž. přenesená",$N$196,0)</f>
        <v>0</v>
      </c>
      <c r="BI196" s="77">
        <f>IF($U$196="nulová",$N$196,0)</f>
        <v>0</v>
      </c>
      <c r="BJ196" s="6" t="s">
        <v>17</v>
      </c>
      <c r="BK196" s="77">
        <f>ROUND($L$196*$K$196,2)</f>
        <v>0</v>
      </c>
      <c r="BL196" s="6" t="s">
        <v>165</v>
      </c>
    </row>
    <row r="197" spans="2:64" s="6" customFormat="1" ht="27" customHeight="1">
      <c r="B197" s="21"/>
      <c r="C197" s="119" t="s">
        <v>267</v>
      </c>
      <c r="D197" s="119" t="s">
        <v>161</v>
      </c>
      <c r="E197" s="120" t="s">
        <v>268</v>
      </c>
      <c r="F197" s="194" t="s">
        <v>269</v>
      </c>
      <c r="G197" s="195"/>
      <c r="H197" s="195"/>
      <c r="I197" s="195"/>
      <c r="J197" s="121" t="s">
        <v>173</v>
      </c>
      <c r="K197" s="122">
        <v>9</v>
      </c>
      <c r="L197" s="196">
        <v>0</v>
      </c>
      <c r="M197" s="195"/>
      <c r="N197" s="197">
        <f>ROUND($L$197*$K$197,2)</f>
        <v>0</v>
      </c>
      <c r="O197" s="195"/>
      <c r="P197" s="195"/>
      <c r="Q197" s="195"/>
      <c r="R197" s="22"/>
      <c r="T197" s="123"/>
      <c r="U197" s="28" t="s">
        <v>41</v>
      </c>
      <c r="V197" s="124">
        <v>0.075</v>
      </c>
      <c r="W197" s="124">
        <f>$V$197*$K$197</f>
        <v>0.6749999999999999</v>
      </c>
      <c r="X197" s="124">
        <v>0.00019</v>
      </c>
      <c r="Y197" s="124">
        <f>$X$197*$K$197</f>
        <v>0.0017100000000000001</v>
      </c>
      <c r="Z197" s="124">
        <v>0</v>
      </c>
      <c r="AA197" s="125">
        <f>$Z$197*$K$197</f>
        <v>0</v>
      </c>
      <c r="AR197" s="6" t="s">
        <v>165</v>
      </c>
      <c r="AT197" s="6" t="s">
        <v>161</v>
      </c>
      <c r="AU197" s="6" t="s">
        <v>102</v>
      </c>
      <c r="AY197" s="6" t="s">
        <v>160</v>
      </c>
      <c r="BE197" s="77">
        <f>IF($U$197="základní",$N$197,0)</f>
        <v>0</v>
      </c>
      <c r="BF197" s="77">
        <f>IF($U$197="snížená",$N$197,0)</f>
        <v>0</v>
      </c>
      <c r="BG197" s="77">
        <f>IF($U$197="zákl. přenesená",$N$197,0)</f>
        <v>0</v>
      </c>
      <c r="BH197" s="77">
        <f>IF($U$197="sníž. přenesená",$N$197,0)</f>
        <v>0</v>
      </c>
      <c r="BI197" s="77">
        <f>IF($U$197="nulová",$N$197,0)</f>
        <v>0</v>
      </c>
      <c r="BJ197" s="6" t="s">
        <v>17</v>
      </c>
      <c r="BK197" s="77">
        <f>ROUND($L$197*$K$197,2)</f>
        <v>0</v>
      </c>
      <c r="BL197" s="6" t="s">
        <v>165</v>
      </c>
    </row>
    <row r="198" spans="2:51" s="6" customFormat="1" ht="15.75" customHeight="1">
      <c r="B198" s="126"/>
      <c r="E198" s="127"/>
      <c r="F198" s="198" t="s">
        <v>270</v>
      </c>
      <c r="G198" s="199"/>
      <c r="H198" s="199"/>
      <c r="I198" s="199"/>
      <c r="K198" s="128">
        <v>9</v>
      </c>
      <c r="R198" s="129"/>
      <c r="T198" s="130"/>
      <c r="AA198" s="131"/>
      <c r="AT198" s="127" t="s">
        <v>167</v>
      </c>
      <c r="AU198" s="127" t="s">
        <v>102</v>
      </c>
      <c r="AV198" s="127" t="s">
        <v>102</v>
      </c>
      <c r="AW198" s="127" t="s">
        <v>109</v>
      </c>
      <c r="AX198" s="127" t="s">
        <v>17</v>
      </c>
      <c r="AY198" s="127" t="s">
        <v>160</v>
      </c>
    </row>
    <row r="199" spans="2:64" s="6" customFormat="1" ht="27" customHeight="1">
      <c r="B199" s="21"/>
      <c r="C199" s="119" t="s">
        <v>271</v>
      </c>
      <c r="D199" s="119" t="s">
        <v>161</v>
      </c>
      <c r="E199" s="120" t="s">
        <v>272</v>
      </c>
      <c r="F199" s="194" t="s">
        <v>273</v>
      </c>
      <c r="G199" s="195"/>
      <c r="H199" s="195"/>
      <c r="I199" s="195"/>
      <c r="J199" s="121" t="s">
        <v>213</v>
      </c>
      <c r="K199" s="122">
        <v>54</v>
      </c>
      <c r="L199" s="196">
        <v>0</v>
      </c>
      <c r="M199" s="195"/>
      <c r="N199" s="197">
        <f>ROUND($L$199*$K$199,2)</f>
        <v>0</v>
      </c>
      <c r="O199" s="195"/>
      <c r="P199" s="195"/>
      <c r="Q199" s="195"/>
      <c r="R199" s="22"/>
      <c r="T199" s="123"/>
      <c r="U199" s="28" t="s">
        <v>41</v>
      </c>
      <c r="V199" s="124">
        <v>0.289</v>
      </c>
      <c r="W199" s="124">
        <f>$V$199*$K$199</f>
        <v>15.605999999999998</v>
      </c>
      <c r="X199" s="124">
        <v>0.06702</v>
      </c>
      <c r="Y199" s="124">
        <f>$X$199*$K$199</f>
        <v>3.61908</v>
      </c>
      <c r="Z199" s="124">
        <v>0</v>
      </c>
      <c r="AA199" s="125">
        <f>$Z$199*$K$199</f>
        <v>0</v>
      </c>
      <c r="AR199" s="6" t="s">
        <v>165</v>
      </c>
      <c r="AT199" s="6" t="s">
        <v>161</v>
      </c>
      <c r="AU199" s="6" t="s">
        <v>102</v>
      </c>
      <c r="AY199" s="6" t="s">
        <v>160</v>
      </c>
      <c r="BE199" s="77">
        <f>IF($U$199="základní",$N$199,0)</f>
        <v>0</v>
      </c>
      <c r="BF199" s="77">
        <f>IF($U$199="snížená",$N$199,0)</f>
        <v>0</v>
      </c>
      <c r="BG199" s="77">
        <f>IF($U$199="zákl. přenesená",$N$199,0)</f>
        <v>0</v>
      </c>
      <c r="BH199" s="77">
        <f>IF($U$199="sníž. přenesená",$N$199,0)</f>
        <v>0</v>
      </c>
      <c r="BI199" s="77">
        <f>IF($U$199="nulová",$N$199,0)</f>
        <v>0</v>
      </c>
      <c r="BJ199" s="6" t="s">
        <v>17</v>
      </c>
      <c r="BK199" s="77">
        <f>ROUND($L$199*$K$199,2)</f>
        <v>0</v>
      </c>
      <c r="BL199" s="6" t="s">
        <v>165</v>
      </c>
    </row>
    <row r="200" spans="2:51" s="6" customFormat="1" ht="15.75" customHeight="1">
      <c r="B200" s="126"/>
      <c r="E200" s="127"/>
      <c r="F200" s="198" t="s">
        <v>274</v>
      </c>
      <c r="G200" s="199"/>
      <c r="H200" s="199"/>
      <c r="I200" s="199"/>
      <c r="K200" s="128">
        <v>54</v>
      </c>
      <c r="R200" s="129"/>
      <c r="T200" s="130"/>
      <c r="AA200" s="131"/>
      <c r="AT200" s="127" t="s">
        <v>167</v>
      </c>
      <c r="AU200" s="127" t="s">
        <v>102</v>
      </c>
      <c r="AV200" s="127" t="s">
        <v>102</v>
      </c>
      <c r="AW200" s="127" t="s">
        <v>109</v>
      </c>
      <c r="AX200" s="127" t="s">
        <v>17</v>
      </c>
      <c r="AY200" s="127" t="s">
        <v>160</v>
      </c>
    </row>
    <row r="201" spans="2:64" s="6" customFormat="1" ht="27" customHeight="1">
      <c r="B201" s="21"/>
      <c r="C201" s="138" t="s">
        <v>275</v>
      </c>
      <c r="D201" s="138" t="s">
        <v>276</v>
      </c>
      <c r="E201" s="139" t="s">
        <v>277</v>
      </c>
      <c r="F201" s="202" t="s">
        <v>278</v>
      </c>
      <c r="G201" s="203"/>
      <c r="H201" s="203"/>
      <c r="I201" s="203"/>
      <c r="J201" s="140" t="s">
        <v>213</v>
      </c>
      <c r="K201" s="141">
        <v>54</v>
      </c>
      <c r="L201" s="204">
        <v>0</v>
      </c>
      <c r="M201" s="203"/>
      <c r="N201" s="205">
        <f>ROUND($L$201*$K$201,2)</f>
        <v>0</v>
      </c>
      <c r="O201" s="195"/>
      <c r="P201" s="195"/>
      <c r="Q201" s="195"/>
      <c r="R201" s="22"/>
      <c r="T201" s="123"/>
      <c r="U201" s="28" t="s">
        <v>41</v>
      </c>
      <c r="V201" s="124">
        <v>0</v>
      </c>
      <c r="W201" s="124">
        <f>$V$201*$K$201</f>
        <v>0</v>
      </c>
      <c r="X201" s="124">
        <v>0.012</v>
      </c>
      <c r="Y201" s="124">
        <f>$X$201*$K$201</f>
        <v>0.648</v>
      </c>
      <c r="Z201" s="124">
        <v>0</v>
      </c>
      <c r="AA201" s="125">
        <f>$Z$201*$K$201</f>
        <v>0</v>
      </c>
      <c r="AR201" s="6" t="s">
        <v>192</v>
      </c>
      <c r="AT201" s="6" t="s">
        <v>276</v>
      </c>
      <c r="AU201" s="6" t="s">
        <v>102</v>
      </c>
      <c r="AY201" s="6" t="s">
        <v>160</v>
      </c>
      <c r="BE201" s="77">
        <f>IF($U$201="základní",$N$201,0)</f>
        <v>0</v>
      </c>
      <c r="BF201" s="77">
        <f>IF($U$201="snížená",$N$201,0)</f>
        <v>0</v>
      </c>
      <c r="BG201" s="77">
        <f>IF($U$201="zákl. přenesená",$N$201,0)</f>
        <v>0</v>
      </c>
      <c r="BH201" s="77">
        <f>IF($U$201="sníž. přenesená",$N$201,0)</f>
        <v>0</v>
      </c>
      <c r="BI201" s="77">
        <f>IF($U$201="nulová",$N$201,0)</f>
        <v>0</v>
      </c>
      <c r="BJ201" s="6" t="s">
        <v>17</v>
      </c>
      <c r="BK201" s="77">
        <f>ROUND($L$201*$K$201,2)</f>
        <v>0</v>
      </c>
      <c r="BL201" s="6" t="s">
        <v>165</v>
      </c>
    </row>
    <row r="202" spans="2:64" s="6" customFormat="1" ht="27" customHeight="1">
      <c r="B202" s="21"/>
      <c r="C202" s="119" t="s">
        <v>279</v>
      </c>
      <c r="D202" s="119" t="s">
        <v>161</v>
      </c>
      <c r="E202" s="120" t="s">
        <v>280</v>
      </c>
      <c r="F202" s="194" t="s">
        <v>281</v>
      </c>
      <c r="G202" s="195"/>
      <c r="H202" s="195"/>
      <c r="I202" s="195"/>
      <c r="J202" s="121" t="s">
        <v>164</v>
      </c>
      <c r="K202" s="122">
        <v>6.254</v>
      </c>
      <c r="L202" s="196">
        <v>0</v>
      </c>
      <c r="M202" s="195"/>
      <c r="N202" s="197">
        <f>ROUND($L$202*$K$202,2)</f>
        <v>0</v>
      </c>
      <c r="O202" s="195"/>
      <c r="P202" s="195"/>
      <c r="Q202" s="195"/>
      <c r="R202" s="22"/>
      <c r="T202" s="123"/>
      <c r="U202" s="28" t="s">
        <v>41</v>
      </c>
      <c r="V202" s="124">
        <v>0.522</v>
      </c>
      <c r="W202" s="124">
        <f>$V$202*$K$202</f>
        <v>3.264588</v>
      </c>
      <c r="X202" s="124">
        <v>0.06638</v>
      </c>
      <c r="Y202" s="124">
        <f>$X$202*$K$202</f>
        <v>0.41514051999999996</v>
      </c>
      <c r="Z202" s="124">
        <v>0</v>
      </c>
      <c r="AA202" s="125">
        <f>$Z$202*$K$202</f>
        <v>0</v>
      </c>
      <c r="AR202" s="6" t="s">
        <v>165</v>
      </c>
      <c r="AT202" s="6" t="s">
        <v>161</v>
      </c>
      <c r="AU202" s="6" t="s">
        <v>102</v>
      </c>
      <c r="AY202" s="6" t="s">
        <v>160</v>
      </c>
      <c r="BE202" s="77">
        <f>IF($U$202="základní",$N$202,0)</f>
        <v>0</v>
      </c>
      <c r="BF202" s="77">
        <f>IF($U$202="snížená",$N$202,0)</f>
        <v>0</v>
      </c>
      <c r="BG202" s="77">
        <f>IF($U$202="zákl. přenesená",$N$202,0)</f>
        <v>0</v>
      </c>
      <c r="BH202" s="77">
        <f>IF($U$202="sníž. přenesená",$N$202,0)</f>
        <v>0</v>
      </c>
      <c r="BI202" s="77">
        <f>IF($U$202="nulová",$N$202,0)</f>
        <v>0</v>
      </c>
      <c r="BJ202" s="6" t="s">
        <v>17</v>
      </c>
      <c r="BK202" s="77">
        <f>ROUND($L$202*$K$202,2)</f>
        <v>0</v>
      </c>
      <c r="BL202" s="6" t="s">
        <v>165</v>
      </c>
    </row>
    <row r="203" spans="2:51" s="6" customFormat="1" ht="15.75" customHeight="1">
      <c r="B203" s="126"/>
      <c r="E203" s="127"/>
      <c r="F203" s="198" t="s">
        <v>282</v>
      </c>
      <c r="G203" s="199"/>
      <c r="H203" s="199"/>
      <c r="I203" s="199"/>
      <c r="K203" s="128">
        <v>6.254</v>
      </c>
      <c r="R203" s="129"/>
      <c r="T203" s="130"/>
      <c r="AA203" s="131"/>
      <c r="AT203" s="127" t="s">
        <v>167</v>
      </c>
      <c r="AU203" s="127" t="s">
        <v>102</v>
      </c>
      <c r="AV203" s="127" t="s">
        <v>102</v>
      </c>
      <c r="AW203" s="127" t="s">
        <v>109</v>
      </c>
      <c r="AX203" s="127" t="s">
        <v>17</v>
      </c>
      <c r="AY203" s="127" t="s">
        <v>160</v>
      </c>
    </row>
    <row r="204" spans="2:64" s="6" customFormat="1" ht="27" customHeight="1">
      <c r="B204" s="21"/>
      <c r="C204" s="119" t="s">
        <v>283</v>
      </c>
      <c r="D204" s="119" t="s">
        <v>161</v>
      </c>
      <c r="E204" s="120" t="s">
        <v>284</v>
      </c>
      <c r="F204" s="194" t="s">
        <v>285</v>
      </c>
      <c r="G204" s="195"/>
      <c r="H204" s="195"/>
      <c r="I204" s="195"/>
      <c r="J204" s="121" t="s">
        <v>173</v>
      </c>
      <c r="K204" s="122">
        <v>5.2</v>
      </c>
      <c r="L204" s="196">
        <v>0</v>
      </c>
      <c r="M204" s="195"/>
      <c r="N204" s="197">
        <f>ROUND($L$204*$K$204,2)</f>
        <v>0</v>
      </c>
      <c r="O204" s="195"/>
      <c r="P204" s="195"/>
      <c r="Q204" s="195"/>
      <c r="R204" s="22"/>
      <c r="T204" s="123"/>
      <c r="U204" s="28" t="s">
        <v>41</v>
      </c>
      <c r="V204" s="124">
        <v>0.12</v>
      </c>
      <c r="W204" s="124">
        <f>$V$204*$K$204</f>
        <v>0.624</v>
      </c>
      <c r="X204" s="124">
        <v>8E-05</v>
      </c>
      <c r="Y204" s="124">
        <f>$X$204*$K$204</f>
        <v>0.00041600000000000003</v>
      </c>
      <c r="Z204" s="124">
        <v>0</v>
      </c>
      <c r="AA204" s="125">
        <f>$Z$204*$K$204</f>
        <v>0</v>
      </c>
      <c r="AR204" s="6" t="s">
        <v>165</v>
      </c>
      <c r="AT204" s="6" t="s">
        <v>161</v>
      </c>
      <c r="AU204" s="6" t="s">
        <v>102</v>
      </c>
      <c r="AY204" s="6" t="s">
        <v>160</v>
      </c>
      <c r="BE204" s="77">
        <f>IF($U$204="základní",$N$204,0)</f>
        <v>0</v>
      </c>
      <c r="BF204" s="77">
        <f>IF($U$204="snížená",$N$204,0)</f>
        <v>0</v>
      </c>
      <c r="BG204" s="77">
        <f>IF($U$204="zákl. přenesená",$N$204,0)</f>
        <v>0</v>
      </c>
      <c r="BH204" s="77">
        <f>IF($U$204="sníž. přenesená",$N$204,0)</f>
        <v>0</v>
      </c>
      <c r="BI204" s="77">
        <f>IF($U$204="nulová",$N$204,0)</f>
        <v>0</v>
      </c>
      <c r="BJ204" s="6" t="s">
        <v>17</v>
      </c>
      <c r="BK204" s="77">
        <f>ROUND($L$204*$K$204,2)</f>
        <v>0</v>
      </c>
      <c r="BL204" s="6" t="s">
        <v>165</v>
      </c>
    </row>
    <row r="205" spans="2:51" s="6" customFormat="1" ht="15.75" customHeight="1">
      <c r="B205" s="126"/>
      <c r="E205" s="127"/>
      <c r="F205" s="198" t="s">
        <v>286</v>
      </c>
      <c r="G205" s="199"/>
      <c r="H205" s="199"/>
      <c r="I205" s="199"/>
      <c r="K205" s="128">
        <v>5.2</v>
      </c>
      <c r="R205" s="129"/>
      <c r="T205" s="130"/>
      <c r="AA205" s="131"/>
      <c r="AT205" s="127" t="s">
        <v>167</v>
      </c>
      <c r="AU205" s="127" t="s">
        <v>102</v>
      </c>
      <c r="AV205" s="127" t="s">
        <v>102</v>
      </c>
      <c r="AW205" s="127" t="s">
        <v>109</v>
      </c>
      <c r="AX205" s="127" t="s">
        <v>17</v>
      </c>
      <c r="AY205" s="127" t="s">
        <v>160</v>
      </c>
    </row>
    <row r="206" spans="2:64" s="6" customFormat="1" ht="27" customHeight="1">
      <c r="B206" s="21"/>
      <c r="C206" s="119" t="s">
        <v>287</v>
      </c>
      <c r="D206" s="119" t="s">
        <v>161</v>
      </c>
      <c r="E206" s="120" t="s">
        <v>288</v>
      </c>
      <c r="F206" s="194" t="s">
        <v>289</v>
      </c>
      <c r="G206" s="195"/>
      <c r="H206" s="195"/>
      <c r="I206" s="195"/>
      <c r="J206" s="121" t="s">
        <v>164</v>
      </c>
      <c r="K206" s="122">
        <v>7.376</v>
      </c>
      <c r="L206" s="196">
        <v>0</v>
      </c>
      <c r="M206" s="195"/>
      <c r="N206" s="197">
        <f>ROUND($L$206*$K$206,2)</f>
        <v>0</v>
      </c>
      <c r="O206" s="195"/>
      <c r="P206" s="195"/>
      <c r="Q206" s="195"/>
      <c r="R206" s="22"/>
      <c r="T206" s="123"/>
      <c r="U206" s="28" t="s">
        <v>41</v>
      </c>
      <c r="V206" s="124">
        <v>0.782</v>
      </c>
      <c r="W206" s="124">
        <f>$V$206*$K$206</f>
        <v>5.768032000000001</v>
      </c>
      <c r="X206" s="124">
        <v>0.1604</v>
      </c>
      <c r="Y206" s="124">
        <f>$X$206*$K$206</f>
        <v>1.1831104</v>
      </c>
      <c r="Z206" s="124">
        <v>0</v>
      </c>
      <c r="AA206" s="125">
        <f>$Z$206*$K$206</f>
        <v>0</v>
      </c>
      <c r="AR206" s="6" t="s">
        <v>165</v>
      </c>
      <c r="AT206" s="6" t="s">
        <v>161</v>
      </c>
      <c r="AU206" s="6" t="s">
        <v>102</v>
      </c>
      <c r="AY206" s="6" t="s">
        <v>160</v>
      </c>
      <c r="BE206" s="77">
        <f>IF($U$206="základní",$N$206,0)</f>
        <v>0</v>
      </c>
      <c r="BF206" s="77">
        <f>IF($U$206="snížená",$N$206,0)</f>
        <v>0</v>
      </c>
      <c r="BG206" s="77">
        <f>IF($U$206="zákl. přenesená",$N$206,0)</f>
        <v>0</v>
      </c>
      <c r="BH206" s="77">
        <f>IF($U$206="sníž. přenesená",$N$206,0)</f>
        <v>0</v>
      </c>
      <c r="BI206" s="77">
        <f>IF($U$206="nulová",$N$206,0)</f>
        <v>0</v>
      </c>
      <c r="BJ206" s="6" t="s">
        <v>17</v>
      </c>
      <c r="BK206" s="77">
        <f>ROUND($L$206*$K$206,2)</f>
        <v>0</v>
      </c>
      <c r="BL206" s="6" t="s">
        <v>165</v>
      </c>
    </row>
    <row r="207" spans="2:51" s="6" customFormat="1" ht="15.75" customHeight="1">
      <c r="B207" s="126"/>
      <c r="E207" s="127"/>
      <c r="F207" s="198" t="s">
        <v>290</v>
      </c>
      <c r="G207" s="199"/>
      <c r="H207" s="199"/>
      <c r="I207" s="199"/>
      <c r="K207" s="128">
        <v>7.376</v>
      </c>
      <c r="R207" s="129"/>
      <c r="T207" s="130"/>
      <c r="AA207" s="131"/>
      <c r="AT207" s="127" t="s">
        <v>167</v>
      </c>
      <c r="AU207" s="127" t="s">
        <v>102</v>
      </c>
      <c r="AV207" s="127" t="s">
        <v>102</v>
      </c>
      <c r="AW207" s="127" t="s">
        <v>109</v>
      </c>
      <c r="AX207" s="127" t="s">
        <v>17</v>
      </c>
      <c r="AY207" s="127" t="s">
        <v>160</v>
      </c>
    </row>
    <row r="208" spans="2:64" s="6" customFormat="1" ht="27" customHeight="1">
      <c r="B208" s="21"/>
      <c r="C208" s="119" t="s">
        <v>291</v>
      </c>
      <c r="D208" s="119" t="s">
        <v>161</v>
      </c>
      <c r="E208" s="120" t="s">
        <v>292</v>
      </c>
      <c r="F208" s="194" t="s">
        <v>293</v>
      </c>
      <c r="G208" s="195"/>
      <c r="H208" s="195"/>
      <c r="I208" s="195"/>
      <c r="J208" s="121" t="s">
        <v>164</v>
      </c>
      <c r="K208" s="122">
        <v>7.376</v>
      </c>
      <c r="L208" s="196">
        <v>0</v>
      </c>
      <c r="M208" s="195"/>
      <c r="N208" s="197">
        <f>ROUND($L$208*$K$208,2)</f>
        <v>0</v>
      </c>
      <c r="O208" s="195"/>
      <c r="P208" s="195"/>
      <c r="Q208" s="195"/>
      <c r="R208" s="22"/>
      <c r="T208" s="123"/>
      <c r="U208" s="28" t="s">
        <v>41</v>
      </c>
      <c r="V208" s="124">
        <v>0.32</v>
      </c>
      <c r="W208" s="124">
        <f>$V$208*$K$208</f>
        <v>2.36032</v>
      </c>
      <c r="X208" s="124">
        <v>0.0585</v>
      </c>
      <c r="Y208" s="124">
        <f>$X$208*$K$208</f>
        <v>0.43149600000000005</v>
      </c>
      <c r="Z208" s="124">
        <v>0</v>
      </c>
      <c r="AA208" s="125">
        <f>$Z$208*$K$208</f>
        <v>0</v>
      </c>
      <c r="AR208" s="6" t="s">
        <v>165</v>
      </c>
      <c r="AT208" s="6" t="s">
        <v>161</v>
      </c>
      <c r="AU208" s="6" t="s">
        <v>102</v>
      </c>
      <c r="AY208" s="6" t="s">
        <v>160</v>
      </c>
      <c r="BE208" s="77">
        <f>IF($U$208="základní",$N$208,0)</f>
        <v>0</v>
      </c>
      <c r="BF208" s="77">
        <f>IF($U$208="snížená",$N$208,0)</f>
        <v>0</v>
      </c>
      <c r="BG208" s="77">
        <f>IF($U$208="zákl. přenesená",$N$208,0)</f>
        <v>0</v>
      </c>
      <c r="BH208" s="77">
        <f>IF($U$208="sníž. přenesená",$N$208,0)</f>
        <v>0</v>
      </c>
      <c r="BI208" s="77">
        <f>IF($U$208="nulová",$N$208,0)</f>
        <v>0</v>
      </c>
      <c r="BJ208" s="6" t="s">
        <v>17</v>
      </c>
      <c r="BK208" s="77">
        <f>ROUND($L$208*$K$208,2)</f>
        <v>0</v>
      </c>
      <c r="BL208" s="6" t="s">
        <v>165</v>
      </c>
    </row>
    <row r="209" spans="2:63" s="109" customFormat="1" ht="30.75" customHeight="1">
      <c r="B209" s="110"/>
      <c r="D209" s="118" t="s">
        <v>114</v>
      </c>
      <c r="N209" s="210">
        <f>$BK$209</f>
        <v>0</v>
      </c>
      <c r="O209" s="209"/>
      <c r="P209" s="209"/>
      <c r="Q209" s="209"/>
      <c r="R209" s="113"/>
      <c r="T209" s="114"/>
      <c r="W209" s="115">
        <f>SUM($W$210:$W$227)</f>
        <v>43.834654</v>
      </c>
      <c r="Y209" s="115">
        <f>SUM($Y$210:$Y$227)</f>
        <v>8.326277690000001</v>
      </c>
      <c r="AA209" s="116">
        <f>SUM($AA$210:$AA$227)</f>
        <v>0</v>
      </c>
      <c r="AR209" s="112" t="s">
        <v>17</v>
      </c>
      <c r="AT209" s="112" t="s">
        <v>75</v>
      </c>
      <c r="AU209" s="112" t="s">
        <v>17</v>
      </c>
      <c r="AY209" s="112" t="s">
        <v>160</v>
      </c>
      <c r="BK209" s="117">
        <f>SUM($BK$210:$BK$227)</f>
        <v>0</v>
      </c>
    </row>
    <row r="210" spans="2:64" s="6" customFormat="1" ht="27" customHeight="1">
      <c r="B210" s="21"/>
      <c r="C210" s="119" t="s">
        <v>294</v>
      </c>
      <c r="D210" s="119" t="s">
        <v>161</v>
      </c>
      <c r="E210" s="120" t="s">
        <v>295</v>
      </c>
      <c r="F210" s="194" t="s">
        <v>296</v>
      </c>
      <c r="G210" s="195"/>
      <c r="H210" s="195"/>
      <c r="I210" s="195"/>
      <c r="J210" s="121" t="s">
        <v>164</v>
      </c>
      <c r="K210" s="122">
        <v>20.15</v>
      </c>
      <c r="L210" s="196">
        <v>0</v>
      </c>
      <c r="M210" s="195"/>
      <c r="N210" s="197">
        <f>ROUND($L$210*$K$210,2)</f>
        <v>0</v>
      </c>
      <c r="O210" s="195"/>
      <c r="P210" s="195"/>
      <c r="Q210" s="195"/>
      <c r="R210" s="22"/>
      <c r="T210" s="123"/>
      <c r="U210" s="28" t="s">
        <v>41</v>
      </c>
      <c r="V210" s="124">
        <v>1.262</v>
      </c>
      <c r="W210" s="124">
        <f>$V$210*$K$210</f>
        <v>25.429299999999998</v>
      </c>
      <c r="X210" s="124">
        <v>0.27876</v>
      </c>
      <c r="Y210" s="124">
        <f>$X$210*$K$210</f>
        <v>5.617014</v>
      </c>
      <c r="Z210" s="124">
        <v>0</v>
      </c>
      <c r="AA210" s="125">
        <f>$Z$210*$K$210</f>
        <v>0</v>
      </c>
      <c r="AR210" s="6" t="s">
        <v>165</v>
      </c>
      <c r="AT210" s="6" t="s">
        <v>161</v>
      </c>
      <c r="AU210" s="6" t="s">
        <v>102</v>
      </c>
      <c r="AY210" s="6" t="s">
        <v>160</v>
      </c>
      <c r="BE210" s="77">
        <f>IF($U$210="základní",$N$210,0)</f>
        <v>0</v>
      </c>
      <c r="BF210" s="77">
        <f>IF($U$210="snížená",$N$210,0)</f>
        <v>0</v>
      </c>
      <c r="BG210" s="77">
        <f>IF($U$210="zákl. přenesená",$N$210,0)</f>
        <v>0</v>
      </c>
      <c r="BH210" s="77">
        <f>IF($U$210="sníž. přenesená",$N$210,0)</f>
        <v>0</v>
      </c>
      <c r="BI210" s="77">
        <f>IF($U$210="nulová",$N$210,0)</f>
        <v>0</v>
      </c>
      <c r="BJ210" s="6" t="s">
        <v>17</v>
      </c>
      <c r="BK210" s="77">
        <f>ROUND($L$210*$K$210,2)</f>
        <v>0</v>
      </c>
      <c r="BL210" s="6" t="s">
        <v>165</v>
      </c>
    </row>
    <row r="211" spans="2:64" s="6" customFormat="1" ht="15.75" customHeight="1">
      <c r="B211" s="21"/>
      <c r="C211" s="119" t="s">
        <v>297</v>
      </c>
      <c r="D211" s="119" t="s">
        <v>161</v>
      </c>
      <c r="E211" s="120" t="s">
        <v>298</v>
      </c>
      <c r="F211" s="194" t="s">
        <v>299</v>
      </c>
      <c r="G211" s="195"/>
      <c r="H211" s="195"/>
      <c r="I211" s="195"/>
      <c r="J211" s="121" t="s">
        <v>164</v>
      </c>
      <c r="K211" s="122">
        <v>18</v>
      </c>
      <c r="L211" s="196">
        <v>0</v>
      </c>
      <c r="M211" s="195"/>
      <c r="N211" s="197">
        <f>ROUND($L$211*$K$211,2)</f>
        <v>0</v>
      </c>
      <c r="O211" s="195"/>
      <c r="P211" s="195"/>
      <c r="Q211" s="195"/>
      <c r="R211" s="22"/>
      <c r="T211" s="123"/>
      <c r="U211" s="28" t="s">
        <v>41</v>
      </c>
      <c r="V211" s="124">
        <v>0.144</v>
      </c>
      <c r="W211" s="124">
        <f>$V$211*$K$211</f>
        <v>2.5919999999999996</v>
      </c>
      <c r="X211" s="124">
        <v>0.00262</v>
      </c>
      <c r="Y211" s="124">
        <f>$X$211*$K$211</f>
        <v>0.04716</v>
      </c>
      <c r="Z211" s="124">
        <v>0</v>
      </c>
      <c r="AA211" s="125">
        <f>$Z$211*$K$211</f>
        <v>0</v>
      </c>
      <c r="AR211" s="6" t="s">
        <v>165</v>
      </c>
      <c r="AT211" s="6" t="s">
        <v>161</v>
      </c>
      <c r="AU211" s="6" t="s">
        <v>102</v>
      </c>
      <c r="AY211" s="6" t="s">
        <v>160</v>
      </c>
      <c r="BE211" s="77">
        <f>IF($U$211="základní",$N$211,0)</f>
        <v>0</v>
      </c>
      <c r="BF211" s="77">
        <f>IF($U$211="snížená",$N$211,0)</f>
        <v>0</v>
      </c>
      <c r="BG211" s="77">
        <f>IF($U$211="zákl. přenesená",$N$211,0)</f>
        <v>0</v>
      </c>
      <c r="BH211" s="77">
        <f>IF($U$211="sníž. přenesená",$N$211,0)</f>
        <v>0</v>
      </c>
      <c r="BI211" s="77">
        <f>IF($U$211="nulová",$N$211,0)</f>
        <v>0</v>
      </c>
      <c r="BJ211" s="6" t="s">
        <v>17</v>
      </c>
      <c r="BK211" s="77">
        <f>ROUND($L$211*$K$211,2)</f>
        <v>0</v>
      </c>
      <c r="BL211" s="6" t="s">
        <v>165</v>
      </c>
    </row>
    <row r="212" spans="2:64" s="6" customFormat="1" ht="15.75" customHeight="1">
      <c r="B212" s="21"/>
      <c r="C212" s="119" t="s">
        <v>300</v>
      </c>
      <c r="D212" s="119" t="s">
        <v>161</v>
      </c>
      <c r="E212" s="120" t="s">
        <v>301</v>
      </c>
      <c r="F212" s="194" t="s">
        <v>302</v>
      </c>
      <c r="G212" s="195"/>
      <c r="H212" s="195"/>
      <c r="I212" s="195"/>
      <c r="J212" s="121" t="s">
        <v>164</v>
      </c>
      <c r="K212" s="122">
        <v>18</v>
      </c>
      <c r="L212" s="196">
        <v>0</v>
      </c>
      <c r="M212" s="195"/>
      <c r="N212" s="197">
        <f>ROUND($L$212*$K$212,2)</f>
        <v>0</v>
      </c>
      <c r="O212" s="195"/>
      <c r="P212" s="195"/>
      <c r="Q212" s="195"/>
      <c r="R212" s="22"/>
      <c r="T212" s="123"/>
      <c r="U212" s="28" t="s">
        <v>41</v>
      </c>
      <c r="V212" s="124">
        <v>0.135</v>
      </c>
      <c r="W212" s="124">
        <f>$V$212*$K$212</f>
        <v>2.43</v>
      </c>
      <c r="X212" s="124">
        <v>0</v>
      </c>
      <c r="Y212" s="124">
        <f>$X$212*$K$212</f>
        <v>0</v>
      </c>
      <c r="Z212" s="124">
        <v>0</v>
      </c>
      <c r="AA212" s="125">
        <f>$Z$212*$K$212</f>
        <v>0</v>
      </c>
      <c r="AR212" s="6" t="s">
        <v>165</v>
      </c>
      <c r="AT212" s="6" t="s">
        <v>161</v>
      </c>
      <c r="AU212" s="6" t="s">
        <v>102</v>
      </c>
      <c r="AY212" s="6" t="s">
        <v>160</v>
      </c>
      <c r="BE212" s="77">
        <f>IF($U$212="základní",$N$212,0)</f>
        <v>0</v>
      </c>
      <c r="BF212" s="77">
        <f>IF($U$212="snížená",$N$212,0)</f>
        <v>0</v>
      </c>
      <c r="BG212" s="77">
        <f>IF($U$212="zákl. přenesená",$N$212,0)</f>
        <v>0</v>
      </c>
      <c r="BH212" s="77">
        <f>IF($U$212="sníž. přenesená",$N$212,0)</f>
        <v>0</v>
      </c>
      <c r="BI212" s="77">
        <f>IF($U$212="nulová",$N$212,0)</f>
        <v>0</v>
      </c>
      <c r="BJ212" s="6" t="s">
        <v>17</v>
      </c>
      <c r="BK212" s="77">
        <f>ROUND($L$212*$K$212,2)</f>
        <v>0</v>
      </c>
      <c r="BL212" s="6" t="s">
        <v>165</v>
      </c>
    </row>
    <row r="213" spans="2:64" s="6" customFormat="1" ht="15.75" customHeight="1">
      <c r="B213" s="21"/>
      <c r="C213" s="119" t="s">
        <v>303</v>
      </c>
      <c r="D213" s="119" t="s">
        <v>161</v>
      </c>
      <c r="E213" s="120" t="s">
        <v>304</v>
      </c>
      <c r="F213" s="194" t="s">
        <v>305</v>
      </c>
      <c r="G213" s="195"/>
      <c r="H213" s="195"/>
      <c r="I213" s="195"/>
      <c r="J213" s="121" t="s">
        <v>176</v>
      </c>
      <c r="K213" s="122">
        <v>0.593</v>
      </c>
      <c r="L213" s="196">
        <v>0</v>
      </c>
      <c r="M213" s="195"/>
      <c r="N213" s="197">
        <f>ROUND($L$213*$K$213,2)</f>
        <v>0</v>
      </c>
      <c r="O213" s="195"/>
      <c r="P213" s="195"/>
      <c r="Q213" s="195"/>
      <c r="R213" s="22"/>
      <c r="T213" s="123"/>
      <c r="U213" s="28" t="s">
        <v>41</v>
      </c>
      <c r="V213" s="124">
        <v>1.448</v>
      </c>
      <c r="W213" s="124">
        <f>$V$213*$K$213</f>
        <v>0.858664</v>
      </c>
      <c r="X213" s="124">
        <v>2.25645</v>
      </c>
      <c r="Y213" s="124">
        <f>$X$213*$K$213</f>
        <v>1.33807485</v>
      </c>
      <c r="Z213" s="124">
        <v>0</v>
      </c>
      <c r="AA213" s="125">
        <f>$Z$213*$K$213</f>
        <v>0</v>
      </c>
      <c r="AR213" s="6" t="s">
        <v>165</v>
      </c>
      <c r="AT213" s="6" t="s">
        <v>161</v>
      </c>
      <c r="AU213" s="6" t="s">
        <v>102</v>
      </c>
      <c r="AY213" s="6" t="s">
        <v>160</v>
      </c>
      <c r="BE213" s="77">
        <f>IF($U$213="základní",$N$213,0)</f>
        <v>0</v>
      </c>
      <c r="BF213" s="77">
        <f>IF($U$213="snížená",$N$213,0)</f>
        <v>0</v>
      </c>
      <c r="BG213" s="77">
        <f>IF($U$213="zákl. přenesená",$N$213,0)</f>
        <v>0</v>
      </c>
      <c r="BH213" s="77">
        <f>IF($U$213="sníž. přenesená",$N$213,0)</f>
        <v>0</v>
      </c>
      <c r="BI213" s="77">
        <f>IF($U$213="nulová",$N$213,0)</f>
        <v>0</v>
      </c>
      <c r="BJ213" s="6" t="s">
        <v>17</v>
      </c>
      <c r="BK213" s="77">
        <f>ROUND($L$213*$K$213,2)</f>
        <v>0</v>
      </c>
      <c r="BL213" s="6" t="s">
        <v>165</v>
      </c>
    </row>
    <row r="214" spans="2:51" s="6" customFormat="1" ht="15.75" customHeight="1">
      <c r="B214" s="126"/>
      <c r="E214" s="127"/>
      <c r="F214" s="198" t="s">
        <v>306</v>
      </c>
      <c r="G214" s="199"/>
      <c r="H214" s="199"/>
      <c r="I214" s="199"/>
      <c r="K214" s="128">
        <v>0.593</v>
      </c>
      <c r="R214" s="129"/>
      <c r="T214" s="130"/>
      <c r="AA214" s="131"/>
      <c r="AT214" s="127" t="s">
        <v>167</v>
      </c>
      <c r="AU214" s="127" t="s">
        <v>102</v>
      </c>
      <c r="AV214" s="127" t="s">
        <v>102</v>
      </c>
      <c r="AW214" s="127" t="s">
        <v>109</v>
      </c>
      <c r="AX214" s="127" t="s">
        <v>17</v>
      </c>
      <c r="AY214" s="127" t="s">
        <v>160</v>
      </c>
    </row>
    <row r="215" spans="2:64" s="6" customFormat="1" ht="15.75" customHeight="1">
      <c r="B215" s="21"/>
      <c r="C215" s="119" t="s">
        <v>307</v>
      </c>
      <c r="D215" s="119" t="s">
        <v>161</v>
      </c>
      <c r="E215" s="120" t="s">
        <v>308</v>
      </c>
      <c r="F215" s="194" t="s">
        <v>309</v>
      </c>
      <c r="G215" s="195"/>
      <c r="H215" s="195"/>
      <c r="I215" s="195"/>
      <c r="J215" s="121" t="s">
        <v>164</v>
      </c>
      <c r="K215" s="122">
        <v>5.08</v>
      </c>
      <c r="L215" s="196">
        <v>0</v>
      </c>
      <c r="M215" s="195"/>
      <c r="N215" s="197">
        <f>ROUND($L$215*$K$215,2)</f>
        <v>0</v>
      </c>
      <c r="O215" s="195"/>
      <c r="P215" s="195"/>
      <c r="Q215" s="195"/>
      <c r="R215" s="22"/>
      <c r="T215" s="123"/>
      <c r="U215" s="28" t="s">
        <v>41</v>
      </c>
      <c r="V215" s="124">
        <v>0.681</v>
      </c>
      <c r="W215" s="124">
        <f>$V$215*$K$215</f>
        <v>3.45948</v>
      </c>
      <c r="X215" s="124">
        <v>0.00519</v>
      </c>
      <c r="Y215" s="124">
        <f>$X$215*$K$215</f>
        <v>0.026365200000000002</v>
      </c>
      <c r="Z215" s="124">
        <v>0</v>
      </c>
      <c r="AA215" s="125">
        <f>$Z$215*$K$215</f>
        <v>0</v>
      </c>
      <c r="AR215" s="6" t="s">
        <v>165</v>
      </c>
      <c r="AT215" s="6" t="s">
        <v>161</v>
      </c>
      <c r="AU215" s="6" t="s">
        <v>102</v>
      </c>
      <c r="AY215" s="6" t="s">
        <v>160</v>
      </c>
      <c r="BE215" s="77">
        <f>IF($U$215="základní",$N$215,0)</f>
        <v>0</v>
      </c>
      <c r="BF215" s="77">
        <f>IF($U$215="snížená",$N$215,0)</f>
        <v>0</v>
      </c>
      <c r="BG215" s="77">
        <f>IF($U$215="zákl. přenesená",$N$215,0)</f>
        <v>0</v>
      </c>
      <c r="BH215" s="77">
        <f>IF($U$215="sníž. přenesená",$N$215,0)</f>
        <v>0</v>
      </c>
      <c r="BI215" s="77">
        <f>IF($U$215="nulová",$N$215,0)</f>
        <v>0</v>
      </c>
      <c r="BJ215" s="6" t="s">
        <v>17</v>
      </c>
      <c r="BK215" s="77">
        <f>ROUND($L$215*$K$215,2)</f>
        <v>0</v>
      </c>
      <c r="BL215" s="6" t="s">
        <v>165</v>
      </c>
    </row>
    <row r="216" spans="2:51" s="6" customFormat="1" ht="15.75" customHeight="1">
      <c r="B216" s="126"/>
      <c r="E216" s="127"/>
      <c r="F216" s="198" t="s">
        <v>310</v>
      </c>
      <c r="G216" s="199"/>
      <c r="H216" s="199"/>
      <c r="I216" s="199"/>
      <c r="K216" s="128">
        <v>5.08</v>
      </c>
      <c r="R216" s="129"/>
      <c r="T216" s="130"/>
      <c r="AA216" s="131"/>
      <c r="AT216" s="127" t="s">
        <v>167</v>
      </c>
      <c r="AU216" s="127" t="s">
        <v>102</v>
      </c>
      <c r="AV216" s="127" t="s">
        <v>102</v>
      </c>
      <c r="AW216" s="127" t="s">
        <v>109</v>
      </c>
      <c r="AX216" s="127" t="s">
        <v>17</v>
      </c>
      <c r="AY216" s="127" t="s">
        <v>160</v>
      </c>
    </row>
    <row r="217" spans="2:64" s="6" customFormat="1" ht="27" customHeight="1">
      <c r="B217" s="21"/>
      <c r="C217" s="119" t="s">
        <v>311</v>
      </c>
      <c r="D217" s="119" t="s">
        <v>161</v>
      </c>
      <c r="E217" s="120" t="s">
        <v>312</v>
      </c>
      <c r="F217" s="194" t="s">
        <v>313</v>
      </c>
      <c r="G217" s="195"/>
      <c r="H217" s="195"/>
      <c r="I217" s="195"/>
      <c r="J217" s="121" t="s">
        <v>208</v>
      </c>
      <c r="K217" s="122">
        <v>0.079</v>
      </c>
      <c r="L217" s="196">
        <v>0</v>
      </c>
      <c r="M217" s="195"/>
      <c r="N217" s="197">
        <f>ROUND($L$217*$K$217,2)</f>
        <v>0</v>
      </c>
      <c r="O217" s="195"/>
      <c r="P217" s="195"/>
      <c r="Q217" s="195"/>
      <c r="R217" s="22"/>
      <c r="T217" s="123"/>
      <c r="U217" s="28" t="s">
        <v>41</v>
      </c>
      <c r="V217" s="124">
        <v>39</v>
      </c>
      <c r="W217" s="124">
        <f>$V$217*$K$217</f>
        <v>3.081</v>
      </c>
      <c r="X217" s="124">
        <v>1.05156</v>
      </c>
      <c r="Y217" s="124">
        <f>$X$217*$K$217</f>
        <v>0.08307324</v>
      </c>
      <c r="Z217" s="124">
        <v>0</v>
      </c>
      <c r="AA217" s="125">
        <f>$Z$217*$K$217</f>
        <v>0</v>
      </c>
      <c r="AR217" s="6" t="s">
        <v>165</v>
      </c>
      <c r="AT217" s="6" t="s">
        <v>161</v>
      </c>
      <c r="AU217" s="6" t="s">
        <v>102</v>
      </c>
      <c r="AY217" s="6" t="s">
        <v>160</v>
      </c>
      <c r="BE217" s="77">
        <f>IF($U$217="základní",$N$217,0)</f>
        <v>0</v>
      </c>
      <c r="BF217" s="77">
        <f>IF($U$217="snížená",$N$217,0)</f>
        <v>0</v>
      </c>
      <c r="BG217" s="77">
        <f>IF($U$217="zákl. přenesená",$N$217,0)</f>
        <v>0</v>
      </c>
      <c r="BH217" s="77">
        <f>IF($U$217="sníž. přenesená",$N$217,0)</f>
        <v>0</v>
      </c>
      <c r="BI217" s="77">
        <f>IF($U$217="nulová",$N$217,0)</f>
        <v>0</v>
      </c>
      <c r="BJ217" s="6" t="s">
        <v>17</v>
      </c>
      <c r="BK217" s="77">
        <f>ROUND($L$217*$K$217,2)</f>
        <v>0</v>
      </c>
      <c r="BL217" s="6" t="s">
        <v>165</v>
      </c>
    </row>
    <row r="218" spans="2:51" s="6" customFormat="1" ht="15.75" customHeight="1">
      <c r="B218" s="126"/>
      <c r="E218" s="127"/>
      <c r="F218" s="198" t="s">
        <v>314</v>
      </c>
      <c r="G218" s="199"/>
      <c r="H218" s="199"/>
      <c r="I218" s="199"/>
      <c r="K218" s="128">
        <v>0.079</v>
      </c>
      <c r="R218" s="129"/>
      <c r="T218" s="130"/>
      <c r="AA218" s="131"/>
      <c r="AT218" s="127" t="s">
        <v>167</v>
      </c>
      <c r="AU218" s="127" t="s">
        <v>102</v>
      </c>
      <c r="AV218" s="127" t="s">
        <v>102</v>
      </c>
      <c r="AW218" s="127" t="s">
        <v>109</v>
      </c>
      <c r="AX218" s="127" t="s">
        <v>17</v>
      </c>
      <c r="AY218" s="127" t="s">
        <v>160</v>
      </c>
    </row>
    <row r="219" spans="2:64" s="6" customFormat="1" ht="27" customHeight="1">
      <c r="B219" s="21"/>
      <c r="C219" s="119" t="s">
        <v>315</v>
      </c>
      <c r="D219" s="119" t="s">
        <v>161</v>
      </c>
      <c r="E219" s="120" t="s">
        <v>316</v>
      </c>
      <c r="F219" s="194" t="s">
        <v>317</v>
      </c>
      <c r="G219" s="195"/>
      <c r="H219" s="195"/>
      <c r="I219" s="195"/>
      <c r="J219" s="121" t="s">
        <v>176</v>
      </c>
      <c r="K219" s="122">
        <v>0.515</v>
      </c>
      <c r="L219" s="196">
        <v>0</v>
      </c>
      <c r="M219" s="195"/>
      <c r="N219" s="197">
        <f>ROUND($L$219*$K$219,2)</f>
        <v>0</v>
      </c>
      <c r="O219" s="195"/>
      <c r="P219" s="195"/>
      <c r="Q219" s="195"/>
      <c r="R219" s="22"/>
      <c r="T219" s="123"/>
      <c r="U219" s="28" t="s">
        <v>41</v>
      </c>
      <c r="V219" s="124">
        <v>2.45</v>
      </c>
      <c r="W219" s="124">
        <f>$V$219*$K$219</f>
        <v>1.2617500000000001</v>
      </c>
      <c r="X219" s="124">
        <v>2.25642</v>
      </c>
      <c r="Y219" s="124">
        <f>$X$219*$K$219</f>
        <v>1.1620563</v>
      </c>
      <c r="Z219" s="124">
        <v>0</v>
      </c>
      <c r="AA219" s="125">
        <f>$Z$219*$K$219</f>
        <v>0</v>
      </c>
      <c r="AR219" s="6" t="s">
        <v>165</v>
      </c>
      <c r="AT219" s="6" t="s">
        <v>161</v>
      </c>
      <c r="AU219" s="6" t="s">
        <v>102</v>
      </c>
      <c r="AY219" s="6" t="s">
        <v>160</v>
      </c>
      <c r="BE219" s="77">
        <f>IF($U$219="základní",$N$219,0)</f>
        <v>0</v>
      </c>
      <c r="BF219" s="77">
        <f>IF($U$219="snížená",$N$219,0)</f>
        <v>0</v>
      </c>
      <c r="BG219" s="77">
        <f>IF($U$219="zákl. přenesená",$N$219,0)</f>
        <v>0</v>
      </c>
      <c r="BH219" s="77">
        <f>IF($U$219="sníž. přenesená",$N$219,0)</f>
        <v>0</v>
      </c>
      <c r="BI219" s="77">
        <f>IF($U$219="nulová",$N$219,0)</f>
        <v>0</v>
      </c>
      <c r="BJ219" s="6" t="s">
        <v>17</v>
      </c>
      <c r="BK219" s="77">
        <f>ROUND($L$219*$K$219,2)</f>
        <v>0</v>
      </c>
      <c r="BL219" s="6" t="s">
        <v>165</v>
      </c>
    </row>
    <row r="220" spans="2:51" s="6" customFormat="1" ht="15.75" customHeight="1">
      <c r="B220" s="126"/>
      <c r="E220" s="127"/>
      <c r="F220" s="198" t="s">
        <v>318</v>
      </c>
      <c r="G220" s="199"/>
      <c r="H220" s="199"/>
      <c r="I220" s="199"/>
      <c r="K220" s="128">
        <v>0.515</v>
      </c>
      <c r="R220" s="129"/>
      <c r="T220" s="130"/>
      <c r="AA220" s="131"/>
      <c r="AT220" s="127" t="s">
        <v>167</v>
      </c>
      <c r="AU220" s="127" t="s">
        <v>102</v>
      </c>
      <c r="AV220" s="127" t="s">
        <v>102</v>
      </c>
      <c r="AW220" s="127" t="s">
        <v>109</v>
      </c>
      <c r="AX220" s="127" t="s">
        <v>17</v>
      </c>
      <c r="AY220" s="127" t="s">
        <v>160</v>
      </c>
    </row>
    <row r="221" spans="2:64" s="6" customFormat="1" ht="27" customHeight="1">
      <c r="B221" s="21"/>
      <c r="C221" s="119" t="s">
        <v>319</v>
      </c>
      <c r="D221" s="119" t="s">
        <v>161</v>
      </c>
      <c r="E221" s="120" t="s">
        <v>320</v>
      </c>
      <c r="F221" s="194" t="s">
        <v>321</v>
      </c>
      <c r="G221" s="195"/>
      <c r="H221" s="195"/>
      <c r="I221" s="195"/>
      <c r="J221" s="121" t="s">
        <v>208</v>
      </c>
      <c r="K221" s="122">
        <v>0.03</v>
      </c>
      <c r="L221" s="196">
        <v>0</v>
      </c>
      <c r="M221" s="195"/>
      <c r="N221" s="197">
        <f>ROUND($L$221*$K$221,2)</f>
        <v>0</v>
      </c>
      <c r="O221" s="195"/>
      <c r="P221" s="195"/>
      <c r="Q221" s="195"/>
      <c r="R221" s="22"/>
      <c r="T221" s="123"/>
      <c r="U221" s="28" t="s">
        <v>41</v>
      </c>
      <c r="V221" s="124">
        <v>52.157</v>
      </c>
      <c r="W221" s="124">
        <f>$V$221*$K$221</f>
        <v>1.5647099999999998</v>
      </c>
      <c r="X221" s="124">
        <v>1.03887</v>
      </c>
      <c r="Y221" s="124">
        <f>$X$221*$K$221</f>
        <v>0.0311661</v>
      </c>
      <c r="Z221" s="124">
        <v>0</v>
      </c>
      <c r="AA221" s="125">
        <f>$Z$221*$K$221</f>
        <v>0</v>
      </c>
      <c r="AR221" s="6" t="s">
        <v>165</v>
      </c>
      <c r="AT221" s="6" t="s">
        <v>161</v>
      </c>
      <c r="AU221" s="6" t="s">
        <v>102</v>
      </c>
      <c r="AY221" s="6" t="s">
        <v>160</v>
      </c>
      <c r="BE221" s="77">
        <f>IF($U$221="základní",$N$221,0)</f>
        <v>0</v>
      </c>
      <c r="BF221" s="77">
        <f>IF($U$221="snížená",$N$221,0)</f>
        <v>0</v>
      </c>
      <c r="BG221" s="77">
        <f>IF($U$221="zákl. přenesená",$N$221,0)</f>
        <v>0</v>
      </c>
      <c r="BH221" s="77">
        <f>IF($U$221="sníž. přenesená",$N$221,0)</f>
        <v>0</v>
      </c>
      <c r="BI221" s="77">
        <f>IF($U$221="nulová",$N$221,0)</f>
        <v>0</v>
      </c>
      <c r="BJ221" s="6" t="s">
        <v>17</v>
      </c>
      <c r="BK221" s="77">
        <f>ROUND($L$221*$K$221,2)</f>
        <v>0</v>
      </c>
      <c r="BL221" s="6" t="s">
        <v>165</v>
      </c>
    </row>
    <row r="222" spans="2:64" s="6" customFormat="1" ht="27" customHeight="1">
      <c r="B222" s="21"/>
      <c r="C222" s="119" t="s">
        <v>322</v>
      </c>
      <c r="D222" s="119" t="s">
        <v>161</v>
      </c>
      <c r="E222" s="120" t="s">
        <v>323</v>
      </c>
      <c r="F222" s="194" t="s">
        <v>324</v>
      </c>
      <c r="G222" s="195"/>
      <c r="H222" s="195"/>
      <c r="I222" s="195"/>
      <c r="J222" s="121" t="s">
        <v>164</v>
      </c>
      <c r="K222" s="122">
        <v>0.6</v>
      </c>
      <c r="L222" s="196">
        <v>0</v>
      </c>
      <c r="M222" s="195"/>
      <c r="N222" s="197">
        <f>ROUND($L$222*$K$222,2)</f>
        <v>0</v>
      </c>
      <c r="O222" s="195"/>
      <c r="P222" s="195"/>
      <c r="Q222" s="195"/>
      <c r="R222" s="22"/>
      <c r="T222" s="123"/>
      <c r="U222" s="28" t="s">
        <v>41</v>
      </c>
      <c r="V222" s="124">
        <v>2.495</v>
      </c>
      <c r="W222" s="124">
        <f>$V$222*$K$222</f>
        <v>1.497</v>
      </c>
      <c r="X222" s="124">
        <v>0.02282</v>
      </c>
      <c r="Y222" s="124">
        <f>$X$222*$K$222</f>
        <v>0.013692</v>
      </c>
      <c r="Z222" s="124">
        <v>0</v>
      </c>
      <c r="AA222" s="125">
        <f>$Z$222*$K$222</f>
        <v>0</v>
      </c>
      <c r="AR222" s="6" t="s">
        <v>165</v>
      </c>
      <c r="AT222" s="6" t="s">
        <v>161</v>
      </c>
      <c r="AU222" s="6" t="s">
        <v>102</v>
      </c>
      <c r="AY222" s="6" t="s">
        <v>160</v>
      </c>
      <c r="BE222" s="77">
        <f>IF($U$222="základní",$N$222,0)</f>
        <v>0</v>
      </c>
      <c r="BF222" s="77">
        <f>IF($U$222="snížená",$N$222,0)</f>
        <v>0</v>
      </c>
      <c r="BG222" s="77">
        <f>IF($U$222="zákl. přenesená",$N$222,0)</f>
        <v>0</v>
      </c>
      <c r="BH222" s="77">
        <f>IF($U$222="sníž. přenesená",$N$222,0)</f>
        <v>0</v>
      </c>
      <c r="BI222" s="77">
        <f>IF($U$222="nulová",$N$222,0)</f>
        <v>0</v>
      </c>
      <c r="BJ222" s="6" t="s">
        <v>17</v>
      </c>
      <c r="BK222" s="77">
        <f>ROUND($L$222*$K$222,2)</f>
        <v>0</v>
      </c>
      <c r="BL222" s="6" t="s">
        <v>165</v>
      </c>
    </row>
    <row r="223" spans="2:51" s="6" customFormat="1" ht="15.75" customHeight="1">
      <c r="B223" s="126"/>
      <c r="E223" s="127"/>
      <c r="F223" s="198" t="s">
        <v>325</v>
      </c>
      <c r="G223" s="199"/>
      <c r="H223" s="199"/>
      <c r="I223" s="199"/>
      <c r="K223" s="128">
        <v>0.6</v>
      </c>
      <c r="R223" s="129"/>
      <c r="T223" s="130"/>
      <c r="AA223" s="131"/>
      <c r="AT223" s="127" t="s">
        <v>167</v>
      </c>
      <c r="AU223" s="127" t="s">
        <v>102</v>
      </c>
      <c r="AV223" s="127" t="s">
        <v>102</v>
      </c>
      <c r="AW223" s="127" t="s">
        <v>109</v>
      </c>
      <c r="AX223" s="127" t="s">
        <v>17</v>
      </c>
      <c r="AY223" s="127" t="s">
        <v>160</v>
      </c>
    </row>
    <row r="224" spans="2:64" s="6" customFormat="1" ht="27" customHeight="1">
      <c r="B224" s="21"/>
      <c r="C224" s="119" t="s">
        <v>326</v>
      </c>
      <c r="D224" s="119" t="s">
        <v>161</v>
      </c>
      <c r="E224" s="120" t="s">
        <v>327</v>
      </c>
      <c r="F224" s="194" t="s">
        <v>328</v>
      </c>
      <c r="G224" s="195"/>
      <c r="H224" s="195"/>
      <c r="I224" s="195"/>
      <c r="J224" s="121" t="s">
        <v>164</v>
      </c>
      <c r="K224" s="122">
        <v>0.6</v>
      </c>
      <c r="L224" s="196">
        <v>0</v>
      </c>
      <c r="M224" s="195"/>
      <c r="N224" s="197">
        <f>ROUND($L$224*$K$224,2)</f>
        <v>0</v>
      </c>
      <c r="O224" s="195"/>
      <c r="P224" s="195"/>
      <c r="Q224" s="195"/>
      <c r="R224" s="22"/>
      <c r="T224" s="123"/>
      <c r="U224" s="28" t="s">
        <v>41</v>
      </c>
      <c r="V224" s="124">
        <v>0.385</v>
      </c>
      <c r="W224" s="124">
        <f>$V$224*$K$224</f>
        <v>0.23099999999999998</v>
      </c>
      <c r="X224" s="124">
        <v>0</v>
      </c>
      <c r="Y224" s="124">
        <f>$X$224*$K$224</f>
        <v>0</v>
      </c>
      <c r="Z224" s="124">
        <v>0</v>
      </c>
      <c r="AA224" s="125">
        <f>$Z$224*$K$224</f>
        <v>0</v>
      </c>
      <c r="AR224" s="6" t="s">
        <v>165</v>
      </c>
      <c r="AT224" s="6" t="s">
        <v>161</v>
      </c>
      <c r="AU224" s="6" t="s">
        <v>102</v>
      </c>
      <c r="AY224" s="6" t="s">
        <v>160</v>
      </c>
      <c r="BE224" s="77">
        <f>IF($U$224="základní",$N$224,0)</f>
        <v>0</v>
      </c>
      <c r="BF224" s="77">
        <f>IF($U$224="snížená",$N$224,0)</f>
        <v>0</v>
      </c>
      <c r="BG224" s="77">
        <f>IF($U$224="zákl. přenesená",$N$224,0)</f>
        <v>0</v>
      </c>
      <c r="BH224" s="77">
        <f>IF($U$224="sníž. přenesená",$N$224,0)</f>
        <v>0</v>
      </c>
      <c r="BI224" s="77">
        <f>IF($U$224="nulová",$N$224,0)</f>
        <v>0</v>
      </c>
      <c r="BJ224" s="6" t="s">
        <v>17</v>
      </c>
      <c r="BK224" s="77">
        <f>ROUND($L$224*$K$224,2)</f>
        <v>0</v>
      </c>
      <c r="BL224" s="6" t="s">
        <v>165</v>
      </c>
    </row>
    <row r="225" spans="2:64" s="6" customFormat="1" ht="15.75" customHeight="1">
      <c r="B225" s="21"/>
      <c r="C225" s="119" t="s">
        <v>329</v>
      </c>
      <c r="D225" s="119" t="s">
        <v>161</v>
      </c>
      <c r="E225" s="120" t="s">
        <v>330</v>
      </c>
      <c r="F225" s="194" t="s">
        <v>331</v>
      </c>
      <c r="G225" s="195"/>
      <c r="H225" s="195"/>
      <c r="I225" s="195"/>
      <c r="J225" s="121" t="s">
        <v>164</v>
      </c>
      <c r="K225" s="122">
        <v>0.95</v>
      </c>
      <c r="L225" s="196">
        <v>0</v>
      </c>
      <c r="M225" s="195"/>
      <c r="N225" s="197">
        <f>ROUND($L$225*$K$225,2)</f>
        <v>0</v>
      </c>
      <c r="O225" s="195"/>
      <c r="P225" s="195"/>
      <c r="Q225" s="195"/>
      <c r="R225" s="22"/>
      <c r="T225" s="123"/>
      <c r="U225" s="28" t="s">
        <v>41</v>
      </c>
      <c r="V225" s="124">
        <v>1.245</v>
      </c>
      <c r="W225" s="124">
        <f>$V$225*$K$225</f>
        <v>1.18275</v>
      </c>
      <c r="X225" s="124">
        <v>0.00808</v>
      </c>
      <c r="Y225" s="124">
        <f>$X$225*$K$225</f>
        <v>0.007676</v>
      </c>
      <c r="Z225" s="124">
        <v>0</v>
      </c>
      <c r="AA225" s="125">
        <f>$Z$225*$K$225</f>
        <v>0</v>
      </c>
      <c r="AR225" s="6" t="s">
        <v>165</v>
      </c>
      <c r="AT225" s="6" t="s">
        <v>161</v>
      </c>
      <c r="AU225" s="6" t="s">
        <v>102</v>
      </c>
      <c r="AY225" s="6" t="s">
        <v>160</v>
      </c>
      <c r="BE225" s="77">
        <f>IF($U$225="základní",$N$225,0)</f>
        <v>0</v>
      </c>
      <c r="BF225" s="77">
        <f>IF($U$225="snížená",$N$225,0)</f>
        <v>0</v>
      </c>
      <c r="BG225" s="77">
        <f>IF($U$225="zákl. přenesená",$N$225,0)</f>
        <v>0</v>
      </c>
      <c r="BH225" s="77">
        <f>IF($U$225="sníž. přenesená",$N$225,0)</f>
        <v>0</v>
      </c>
      <c r="BI225" s="77">
        <f>IF($U$225="nulová",$N$225,0)</f>
        <v>0</v>
      </c>
      <c r="BJ225" s="6" t="s">
        <v>17</v>
      </c>
      <c r="BK225" s="77">
        <f>ROUND($L$225*$K$225,2)</f>
        <v>0</v>
      </c>
      <c r="BL225" s="6" t="s">
        <v>165</v>
      </c>
    </row>
    <row r="226" spans="2:51" s="6" customFormat="1" ht="15.75" customHeight="1">
      <c r="B226" s="126"/>
      <c r="E226" s="127"/>
      <c r="F226" s="198" t="s">
        <v>332</v>
      </c>
      <c r="G226" s="199"/>
      <c r="H226" s="199"/>
      <c r="I226" s="199"/>
      <c r="K226" s="128">
        <v>0.95</v>
      </c>
      <c r="R226" s="129"/>
      <c r="T226" s="130"/>
      <c r="AA226" s="131"/>
      <c r="AT226" s="127" t="s">
        <v>167</v>
      </c>
      <c r="AU226" s="127" t="s">
        <v>102</v>
      </c>
      <c r="AV226" s="127" t="s">
        <v>102</v>
      </c>
      <c r="AW226" s="127" t="s">
        <v>109</v>
      </c>
      <c r="AX226" s="127" t="s">
        <v>17</v>
      </c>
      <c r="AY226" s="127" t="s">
        <v>160</v>
      </c>
    </row>
    <row r="227" spans="2:64" s="6" customFormat="1" ht="27" customHeight="1">
      <c r="B227" s="21"/>
      <c r="C227" s="119" t="s">
        <v>333</v>
      </c>
      <c r="D227" s="119" t="s">
        <v>161</v>
      </c>
      <c r="E227" s="120" t="s">
        <v>334</v>
      </c>
      <c r="F227" s="194" t="s">
        <v>335</v>
      </c>
      <c r="G227" s="195"/>
      <c r="H227" s="195"/>
      <c r="I227" s="195"/>
      <c r="J227" s="121" t="s">
        <v>164</v>
      </c>
      <c r="K227" s="122">
        <v>0.95</v>
      </c>
      <c r="L227" s="196">
        <v>0</v>
      </c>
      <c r="M227" s="195"/>
      <c r="N227" s="197">
        <f>ROUND($L$227*$K$227,2)</f>
        <v>0</v>
      </c>
      <c r="O227" s="195"/>
      <c r="P227" s="195"/>
      <c r="Q227" s="195"/>
      <c r="R227" s="22"/>
      <c r="T227" s="123"/>
      <c r="U227" s="28" t="s">
        <v>41</v>
      </c>
      <c r="V227" s="124">
        <v>0.26</v>
      </c>
      <c r="W227" s="124">
        <f>$V$227*$K$227</f>
        <v>0.247</v>
      </c>
      <c r="X227" s="124">
        <v>0</v>
      </c>
      <c r="Y227" s="124">
        <f>$X$227*$K$227</f>
        <v>0</v>
      </c>
      <c r="Z227" s="124">
        <v>0</v>
      </c>
      <c r="AA227" s="125">
        <f>$Z$227*$K$227</f>
        <v>0</v>
      </c>
      <c r="AR227" s="6" t="s">
        <v>165</v>
      </c>
      <c r="AT227" s="6" t="s">
        <v>161</v>
      </c>
      <c r="AU227" s="6" t="s">
        <v>102</v>
      </c>
      <c r="AY227" s="6" t="s">
        <v>160</v>
      </c>
      <c r="BE227" s="77">
        <f>IF($U$227="základní",$N$227,0)</f>
        <v>0</v>
      </c>
      <c r="BF227" s="77">
        <f>IF($U$227="snížená",$N$227,0)</f>
        <v>0</v>
      </c>
      <c r="BG227" s="77">
        <f>IF($U$227="zákl. přenesená",$N$227,0)</f>
        <v>0</v>
      </c>
      <c r="BH227" s="77">
        <f>IF($U$227="sníž. přenesená",$N$227,0)</f>
        <v>0</v>
      </c>
      <c r="BI227" s="77">
        <f>IF($U$227="nulová",$N$227,0)</f>
        <v>0</v>
      </c>
      <c r="BJ227" s="6" t="s">
        <v>17</v>
      </c>
      <c r="BK227" s="77">
        <f>ROUND($L$227*$K$227,2)</f>
        <v>0</v>
      </c>
      <c r="BL227" s="6" t="s">
        <v>165</v>
      </c>
    </row>
    <row r="228" spans="2:63" s="109" customFormat="1" ht="30.75" customHeight="1">
      <c r="B228" s="110"/>
      <c r="D228" s="118" t="s">
        <v>115</v>
      </c>
      <c r="N228" s="210">
        <f>$BK$228</f>
        <v>0</v>
      </c>
      <c r="O228" s="209"/>
      <c r="P228" s="209"/>
      <c r="Q228" s="209"/>
      <c r="R228" s="113"/>
      <c r="T228" s="114"/>
      <c r="W228" s="115">
        <f>SUM($W$229:$W$231)</f>
        <v>4.8384</v>
      </c>
      <c r="Y228" s="115">
        <f>SUM($Y$229:$Y$231)</f>
        <v>1.77576</v>
      </c>
      <c r="AA228" s="116">
        <f>SUM($AA$229:$AA$231)</f>
        <v>0</v>
      </c>
      <c r="AR228" s="112" t="s">
        <v>17</v>
      </c>
      <c r="AT228" s="112" t="s">
        <v>75</v>
      </c>
      <c r="AU228" s="112" t="s">
        <v>17</v>
      </c>
      <c r="AY228" s="112" t="s">
        <v>160</v>
      </c>
      <c r="BK228" s="117">
        <f>SUM($BK$229:$BK$231)</f>
        <v>0</v>
      </c>
    </row>
    <row r="229" spans="2:64" s="6" customFormat="1" ht="27" customHeight="1">
      <c r="B229" s="21"/>
      <c r="C229" s="119" t="s">
        <v>336</v>
      </c>
      <c r="D229" s="119" t="s">
        <v>161</v>
      </c>
      <c r="E229" s="120" t="s">
        <v>337</v>
      </c>
      <c r="F229" s="194" t="s">
        <v>338</v>
      </c>
      <c r="G229" s="195"/>
      <c r="H229" s="195"/>
      <c r="I229" s="195"/>
      <c r="J229" s="121" t="s">
        <v>164</v>
      </c>
      <c r="K229" s="122">
        <v>6.72</v>
      </c>
      <c r="L229" s="196">
        <v>0</v>
      </c>
      <c r="M229" s="195"/>
      <c r="N229" s="197">
        <f>ROUND($L$229*$K$229,2)</f>
        <v>0</v>
      </c>
      <c r="O229" s="195"/>
      <c r="P229" s="195"/>
      <c r="Q229" s="195"/>
      <c r="R229" s="22"/>
      <c r="T229" s="123"/>
      <c r="U229" s="28" t="s">
        <v>41</v>
      </c>
      <c r="V229" s="124">
        <v>0.72</v>
      </c>
      <c r="W229" s="124">
        <f>$V$229*$K$229</f>
        <v>4.8384</v>
      </c>
      <c r="X229" s="124">
        <v>0.08425</v>
      </c>
      <c r="Y229" s="124">
        <f>$X$229*$K$229</f>
        <v>0.56616</v>
      </c>
      <c r="Z229" s="124">
        <v>0</v>
      </c>
      <c r="AA229" s="125">
        <f>$Z$229*$K$229</f>
        <v>0</v>
      </c>
      <c r="AR229" s="6" t="s">
        <v>165</v>
      </c>
      <c r="AT229" s="6" t="s">
        <v>161</v>
      </c>
      <c r="AU229" s="6" t="s">
        <v>102</v>
      </c>
      <c r="AY229" s="6" t="s">
        <v>160</v>
      </c>
      <c r="BE229" s="77">
        <f>IF($U$229="základní",$N$229,0)</f>
        <v>0</v>
      </c>
      <c r="BF229" s="77">
        <f>IF($U$229="snížená",$N$229,0)</f>
        <v>0</v>
      </c>
      <c r="BG229" s="77">
        <f>IF($U$229="zákl. přenesená",$N$229,0)</f>
        <v>0</v>
      </c>
      <c r="BH229" s="77">
        <f>IF($U$229="sníž. přenesená",$N$229,0)</f>
        <v>0</v>
      </c>
      <c r="BI229" s="77">
        <f>IF($U$229="nulová",$N$229,0)</f>
        <v>0</v>
      </c>
      <c r="BJ229" s="6" t="s">
        <v>17</v>
      </c>
      <c r="BK229" s="77">
        <f>ROUND($L$229*$K$229,2)</f>
        <v>0</v>
      </c>
      <c r="BL229" s="6" t="s">
        <v>165</v>
      </c>
    </row>
    <row r="230" spans="2:51" s="6" customFormat="1" ht="15.75" customHeight="1">
      <c r="B230" s="126"/>
      <c r="E230" s="127"/>
      <c r="F230" s="198" t="s">
        <v>339</v>
      </c>
      <c r="G230" s="199"/>
      <c r="H230" s="199"/>
      <c r="I230" s="199"/>
      <c r="K230" s="128">
        <v>6.72</v>
      </c>
      <c r="R230" s="129"/>
      <c r="T230" s="130"/>
      <c r="AA230" s="131"/>
      <c r="AT230" s="127" t="s">
        <v>167</v>
      </c>
      <c r="AU230" s="127" t="s">
        <v>102</v>
      </c>
      <c r="AV230" s="127" t="s">
        <v>102</v>
      </c>
      <c r="AW230" s="127" t="s">
        <v>109</v>
      </c>
      <c r="AX230" s="127" t="s">
        <v>17</v>
      </c>
      <c r="AY230" s="127" t="s">
        <v>160</v>
      </c>
    </row>
    <row r="231" spans="2:64" s="6" customFormat="1" ht="27" customHeight="1">
      <c r="B231" s="21"/>
      <c r="C231" s="138" t="s">
        <v>340</v>
      </c>
      <c r="D231" s="138" t="s">
        <v>276</v>
      </c>
      <c r="E231" s="139" t="s">
        <v>341</v>
      </c>
      <c r="F231" s="202" t="s">
        <v>342</v>
      </c>
      <c r="G231" s="203"/>
      <c r="H231" s="203"/>
      <c r="I231" s="203"/>
      <c r="J231" s="140" t="s">
        <v>164</v>
      </c>
      <c r="K231" s="141">
        <v>6.72</v>
      </c>
      <c r="L231" s="204">
        <v>0</v>
      </c>
      <c r="M231" s="203"/>
      <c r="N231" s="205">
        <f>ROUND($L$231*$K$231,2)</f>
        <v>0</v>
      </c>
      <c r="O231" s="195"/>
      <c r="P231" s="195"/>
      <c r="Q231" s="195"/>
      <c r="R231" s="22"/>
      <c r="T231" s="123"/>
      <c r="U231" s="28" t="s">
        <v>41</v>
      </c>
      <c r="V231" s="124">
        <v>0</v>
      </c>
      <c r="W231" s="124">
        <f>$V$231*$K$231</f>
        <v>0</v>
      </c>
      <c r="X231" s="124">
        <v>0.18</v>
      </c>
      <c r="Y231" s="124">
        <f>$X$231*$K$231</f>
        <v>1.2096</v>
      </c>
      <c r="Z231" s="124">
        <v>0</v>
      </c>
      <c r="AA231" s="125">
        <f>$Z$231*$K$231</f>
        <v>0</v>
      </c>
      <c r="AR231" s="6" t="s">
        <v>192</v>
      </c>
      <c r="AT231" s="6" t="s">
        <v>276</v>
      </c>
      <c r="AU231" s="6" t="s">
        <v>102</v>
      </c>
      <c r="AY231" s="6" t="s">
        <v>160</v>
      </c>
      <c r="BE231" s="77">
        <f>IF($U$231="základní",$N$231,0)</f>
        <v>0</v>
      </c>
      <c r="BF231" s="77">
        <f>IF($U$231="snížená",$N$231,0)</f>
        <v>0</v>
      </c>
      <c r="BG231" s="77">
        <f>IF($U$231="zákl. přenesená",$N$231,0)</f>
        <v>0</v>
      </c>
      <c r="BH231" s="77">
        <f>IF($U$231="sníž. přenesená",$N$231,0)</f>
        <v>0</v>
      </c>
      <c r="BI231" s="77">
        <f>IF($U$231="nulová",$N$231,0)</f>
        <v>0</v>
      </c>
      <c r="BJ231" s="6" t="s">
        <v>17</v>
      </c>
      <c r="BK231" s="77">
        <f>ROUND($L$231*$K$231,2)</f>
        <v>0</v>
      </c>
      <c r="BL231" s="6" t="s">
        <v>165</v>
      </c>
    </row>
    <row r="232" spans="2:63" s="109" customFormat="1" ht="30.75" customHeight="1">
      <c r="B232" s="110"/>
      <c r="D232" s="118" t="s">
        <v>116</v>
      </c>
      <c r="N232" s="210">
        <f>$BK$232</f>
        <v>0</v>
      </c>
      <c r="O232" s="209"/>
      <c r="P232" s="209"/>
      <c r="Q232" s="209"/>
      <c r="R232" s="113"/>
      <c r="T232" s="114"/>
      <c r="W232" s="115">
        <f>SUM($W$233:$W$250)</f>
        <v>82.521519</v>
      </c>
      <c r="Y232" s="115">
        <f>SUM($Y$233:$Y$250)</f>
        <v>7.89241975</v>
      </c>
      <c r="AA232" s="116">
        <f>SUM($AA$233:$AA$250)</f>
        <v>0</v>
      </c>
      <c r="AR232" s="112" t="s">
        <v>17</v>
      </c>
      <c r="AT232" s="112" t="s">
        <v>75</v>
      </c>
      <c r="AU232" s="112" t="s">
        <v>17</v>
      </c>
      <c r="AY232" s="112" t="s">
        <v>160</v>
      </c>
      <c r="BK232" s="117">
        <f>SUM($BK$233:$BK$250)</f>
        <v>0</v>
      </c>
    </row>
    <row r="233" spans="2:64" s="6" customFormat="1" ht="27" customHeight="1">
      <c r="B233" s="21"/>
      <c r="C233" s="119" t="s">
        <v>343</v>
      </c>
      <c r="D233" s="119" t="s">
        <v>161</v>
      </c>
      <c r="E233" s="120" t="s">
        <v>344</v>
      </c>
      <c r="F233" s="194" t="s">
        <v>345</v>
      </c>
      <c r="G233" s="195"/>
      <c r="H233" s="195"/>
      <c r="I233" s="195"/>
      <c r="J233" s="121" t="s">
        <v>164</v>
      </c>
      <c r="K233" s="122">
        <v>18</v>
      </c>
      <c r="L233" s="196">
        <v>0</v>
      </c>
      <c r="M233" s="195"/>
      <c r="N233" s="197">
        <f>ROUND($L$233*$K$233,2)</f>
        <v>0</v>
      </c>
      <c r="O233" s="195"/>
      <c r="P233" s="195"/>
      <c r="Q233" s="195"/>
      <c r="R233" s="22"/>
      <c r="T233" s="123"/>
      <c r="U233" s="28" t="s">
        <v>41</v>
      </c>
      <c r="V233" s="124">
        <v>0.57</v>
      </c>
      <c r="W233" s="124">
        <f>$V$233*$K$233</f>
        <v>10.26</v>
      </c>
      <c r="X233" s="124">
        <v>0.01838</v>
      </c>
      <c r="Y233" s="124">
        <f>$X$233*$K$233</f>
        <v>0.33084</v>
      </c>
      <c r="Z233" s="124">
        <v>0</v>
      </c>
      <c r="AA233" s="125">
        <f>$Z$233*$K$233</f>
        <v>0</v>
      </c>
      <c r="AR233" s="6" t="s">
        <v>165</v>
      </c>
      <c r="AT233" s="6" t="s">
        <v>161</v>
      </c>
      <c r="AU233" s="6" t="s">
        <v>102</v>
      </c>
      <c r="AY233" s="6" t="s">
        <v>160</v>
      </c>
      <c r="BE233" s="77">
        <f>IF($U$233="základní",$N$233,0)</f>
        <v>0</v>
      </c>
      <c r="BF233" s="77">
        <f>IF($U$233="snížená",$N$233,0)</f>
        <v>0</v>
      </c>
      <c r="BG233" s="77">
        <f>IF($U$233="zákl. přenesená",$N$233,0)</f>
        <v>0</v>
      </c>
      <c r="BH233" s="77">
        <f>IF($U$233="sníž. přenesená",$N$233,0)</f>
        <v>0</v>
      </c>
      <c r="BI233" s="77">
        <f>IF($U$233="nulová",$N$233,0)</f>
        <v>0</v>
      </c>
      <c r="BJ233" s="6" t="s">
        <v>17</v>
      </c>
      <c r="BK233" s="77">
        <f>ROUND($L$233*$K$233,2)</f>
        <v>0</v>
      </c>
      <c r="BL233" s="6" t="s">
        <v>165</v>
      </c>
    </row>
    <row r="234" spans="2:64" s="6" customFormat="1" ht="27" customHeight="1">
      <c r="B234" s="21"/>
      <c r="C234" s="119" t="s">
        <v>346</v>
      </c>
      <c r="D234" s="119" t="s">
        <v>161</v>
      </c>
      <c r="E234" s="120" t="s">
        <v>347</v>
      </c>
      <c r="F234" s="194" t="s">
        <v>348</v>
      </c>
      <c r="G234" s="195"/>
      <c r="H234" s="195"/>
      <c r="I234" s="195"/>
      <c r="J234" s="121" t="s">
        <v>164</v>
      </c>
      <c r="K234" s="122">
        <v>87.895</v>
      </c>
      <c r="L234" s="196">
        <v>0</v>
      </c>
      <c r="M234" s="195"/>
      <c r="N234" s="197">
        <f>ROUND($L$234*$K$234,2)</f>
        <v>0</v>
      </c>
      <c r="O234" s="195"/>
      <c r="P234" s="195"/>
      <c r="Q234" s="195"/>
      <c r="R234" s="22"/>
      <c r="T234" s="123"/>
      <c r="U234" s="28" t="s">
        <v>41</v>
      </c>
      <c r="V234" s="124">
        <v>0.47</v>
      </c>
      <c r="W234" s="124">
        <f>$V$234*$K$234</f>
        <v>41.310649999999995</v>
      </c>
      <c r="X234" s="124">
        <v>0.01838</v>
      </c>
      <c r="Y234" s="124">
        <f>$X$234*$K$234</f>
        <v>1.6155101</v>
      </c>
      <c r="Z234" s="124">
        <v>0</v>
      </c>
      <c r="AA234" s="125">
        <f>$Z$234*$K$234</f>
        <v>0</v>
      </c>
      <c r="AR234" s="6" t="s">
        <v>165</v>
      </c>
      <c r="AT234" s="6" t="s">
        <v>161</v>
      </c>
      <c r="AU234" s="6" t="s">
        <v>102</v>
      </c>
      <c r="AY234" s="6" t="s">
        <v>160</v>
      </c>
      <c r="BE234" s="77">
        <f>IF($U$234="základní",$N$234,0)</f>
        <v>0</v>
      </c>
      <c r="BF234" s="77">
        <f>IF($U$234="snížená",$N$234,0)</f>
        <v>0</v>
      </c>
      <c r="BG234" s="77">
        <f>IF($U$234="zákl. přenesená",$N$234,0)</f>
        <v>0</v>
      </c>
      <c r="BH234" s="77">
        <f>IF($U$234="sníž. přenesená",$N$234,0)</f>
        <v>0</v>
      </c>
      <c r="BI234" s="77">
        <f>IF($U$234="nulová",$N$234,0)</f>
        <v>0</v>
      </c>
      <c r="BJ234" s="6" t="s">
        <v>17</v>
      </c>
      <c r="BK234" s="77">
        <f>ROUND($L$234*$K$234,2)</f>
        <v>0</v>
      </c>
      <c r="BL234" s="6" t="s">
        <v>165</v>
      </c>
    </row>
    <row r="235" spans="2:51" s="6" customFormat="1" ht="15.75" customHeight="1">
      <c r="B235" s="126"/>
      <c r="E235" s="127"/>
      <c r="F235" s="198" t="s">
        <v>349</v>
      </c>
      <c r="G235" s="199"/>
      <c r="H235" s="199"/>
      <c r="I235" s="199"/>
      <c r="K235" s="128">
        <v>36.885</v>
      </c>
      <c r="R235" s="129"/>
      <c r="T235" s="130"/>
      <c r="AA235" s="131"/>
      <c r="AT235" s="127" t="s">
        <v>167</v>
      </c>
      <c r="AU235" s="127" t="s">
        <v>102</v>
      </c>
      <c r="AV235" s="127" t="s">
        <v>102</v>
      </c>
      <c r="AW235" s="127" t="s">
        <v>109</v>
      </c>
      <c r="AX235" s="127" t="s">
        <v>76</v>
      </c>
      <c r="AY235" s="127" t="s">
        <v>160</v>
      </c>
    </row>
    <row r="236" spans="2:51" s="6" customFormat="1" ht="27" customHeight="1">
      <c r="B236" s="126"/>
      <c r="E236" s="127"/>
      <c r="F236" s="198" t="s">
        <v>350</v>
      </c>
      <c r="G236" s="199"/>
      <c r="H236" s="199"/>
      <c r="I236" s="199"/>
      <c r="K236" s="128">
        <v>51.01</v>
      </c>
      <c r="R236" s="129"/>
      <c r="T236" s="130"/>
      <c r="AA236" s="131"/>
      <c r="AT236" s="127" t="s">
        <v>167</v>
      </c>
      <c r="AU236" s="127" t="s">
        <v>102</v>
      </c>
      <c r="AV236" s="127" t="s">
        <v>102</v>
      </c>
      <c r="AW236" s="127" t="s">
        <v>109</v>
      </c>
      <c r="AX236" s="127" t="s">
        <v>76</v>
      </c>
      <c r="AY236" s="127" t="s">
        <v>160</v>
      </c>
    </row>
    <row r="237" spans="2:51" s="6" customFormat="1" ht="15.75" customHeight="1">
      <c r="B237" s="132"/>
      <c r="E237" s="133"/>
      <c r="F237" s="200" t="s">
        <v>191</v>
      </c>
      <c r="G237" s="201"/>
      <c r="H237" s="201"/>
      <c r="I237" s="201"/>
      <c r="K237" s="134">
        <v>87.895</v>
      </c>
      <c r="R237" s="135"/>
      <c r="T237" s="136"/>
      <c r="AA237" s="137"/>
      <c r="AT237" s="133" t="s">
        <v>167</v>
      </c>
      <c r="AU237" s="133" t="s">
        <v>102</v>
      </c>
      <c r="AV237" s="133" t="s">
        <v>165</v>
      </c>
      <c r="AW237" s="133" t="s">
        <v>109</v>
      </c>
      <c r="AX237" s="133" t="s">
        <v>17</v>
      </c>
      <c r="AY237" s="133" t="s">
        <v>160</v>
      </c>
    </row>
    <row r="238" spans="2:64" s="6" customFormat="1" ht="27" customHeight="1">
      <c r="B238" s="21"/>
      <c r="C238" s="119" t="s">
        <v>351</v>
      </c>
      <c r="D238" s="119" t="s">
        <v>161</v>
      </c>
      <c r="E238" s="120" t="s">
        <v>352</v>
      </c>
      <c r="F238" s="194" t="s">
        <v>353</v>
      </c>
      <c r="G238" s="195"/>
      <c r="H238" s="195"/>
      <c r="I238" s="195"/>
      <c r="J238" s="121" t="s">
        <v>164</v>
      </c>
      <c r="K238" s="122">
        <v>10.545</v>
      </c>
      <c r="L238" s="196">
        <v>0</v>
      </c>
      <c r="M238" s="195"/>
      <c r="N238" s="197">
        <f>ROUND($L$238*$K$238,2)</f>
        <v>0</v>
      </c>
      <c r="O238" s="195"/>
      <c r="P238" s="195"/>
      <c r="Q238" s="195"/>
      <c r="R238" s="22"/>
      <c r="T238" s="123"/>
      <c r="U238" s="28" t="s">
        <v>41</v>
      </c>
      <c r="V238" s="124">
        <v>0.08</v>
      </c>
      <c r="W238" s="124">
        <f>$V$238*$K$238</f>
        <v>0.8436</v>
      </c>
      <c r="X238" s="124">
        <v>0.00024</v>
      </c>
      <c r="Y238" s="124">
        <f>$X$238*$K$238</f>
        <v>0.0025308</v>
      </c>
      <c r="Z238" s="124">
        <v>0</v>
      </c>
      <c r="AA238" s="125">
        <f>$Z$238*$K$238</f>
        <v>0</v>
      </c>
      <c r="AR238" s="6" t="s">
        <v>165</v>
      </c>
      <c r="AT238" s="6" t="s">
        <v>161</v>
      </c>
      <c r="AU238" s="6" t="s">
        <v>102</v>
      </c>
      <c r="AY238" s="6" t="s">
        <v>160</v>
      </c>
      <c r="BE238" s="77">
        <f>IF($U$238="základní",$N$238,0)</f>
        <v>0</v>
      </c>
      <c r="BF238" s="77">
        <f>IF($U$238="snížená",$N$238,0)</f>
        <v>0</v>
      </c>
      <c r="BG238" s="77">
        <f>IF($U$238="zákl. přenesená",$N$238,0)</f>
        <v>0</v>
      </c>
      <c r="BH238" s="77">
        <f>IF($U$238="sníž. přenesená",$N$238,0)</f>
        <v>0</v>
      </c>
      <c r="BI238" s="77">
        <f>IF($U$238="nulová",$N$238,0)</f>
        <v>0</v>
      </c>
      <c r="BJ238" s="6" t="s">
        <v>17</v>
      </c>
      <c r="BK238" s="77">
        <f>ROUND($L$238*$K$238,2)</f>
        <v>0</v>
      </c>
      <c r="BL238" s="6" t="s">
        <v>165</v>
      </c>
    </row>
    <row r="239" spans="2:51" s="6" customFormat="1" ht="15.75" customHeight="1">
      <c r="B239" s="126"/>
      <c r="E239" s="127"/>
      <c r="F239" s="198" t="s">
        <v>354</v>
      </c>
      <c r="G239" s="199"/>
      <c r="H239" s="199"/>
      <c r="I239" s="199"/>
      <c r="K239" s="128">
        <v>10.545</v>
      </c>
      <c r="R239" s="129"/>
      <c r="T239" s="130"/>
      <c r="AA239" s="131"/>
      <c r="AT239" s="127" t="s">
        <v>167</v>
      </c>
      <c r="AU239" s="127" t="s">
        <v>102</v>
      </c>
      <c r="AV239" s="127" t="s">
        <v>102</v>
      </c>
      <c r="AW239" s="127" t="s">
        <v>109</v>
      </c>
      <c r="AX239" s="127" t="s">
        <v>17</v>
      </c>
      <c r="AY239" s="127" t="s">
        <v>160</v>
      </c>
    </row>
    <row r="240" spans="2:64" s="6" customFormat="1" ht="27" customHeight="1">
      <c r="B240" s="21"/>
      <c r="C240" s="119" t="s">
        <v>355</v>
      </c>
      <c r="D240" s="119" t="s">
        <v>161</v>
      </c>
      <c r="E240" s="120" t="s">
        <v>356</v>
      </c>
      <c r="F240" s="194" t="s">
        <v>357</v>
      </c>
      <c r="G240" s="195"/>
      <c r="H240" s="195"/>
      <c r="I240" s="195"/>
      <c r="J240" s="121" t="s">
        <v>164</v>
      </c>
      <c r="K240" s="122">
        <v>26.977</v>
      </c>
      <c r="L240" s="196">
        <v>0</v>
      </c>
      <c r="M240" s="195"/>
      <c r="N240" s="197">
        <f>ROUND($L$240*$K$240,2)</f>
        <v>0</v>
      </c>
      <c r="O240" s="195"/>
      <c r="P240" s="195"/>
      <c r="Q240" s="195"/>
      <c r="R240" s="22"/>
      <c r="T240" s="123"/>
      <c r="U240" s="28" t="s">
        <v>41</v>
      </c>
      <c r="V240" s="124">
        <v>0.112</v>
      </c>
      <c r="W240" s="124">
        <f>$V$240*$K$240</f>
        <v>3.021424</v>
      </c>
      <c r="X240" s="124">
        <v>0.0012</v>
      </c>
      <c r="Y240" s="124">
        <f>$X$240*$K$240</f>
        <v>0.032372399999999996</v>
      </c>
      <c r="Z240" s="124">
        <v>0</v>
      </c>
      <c r="AA240" s="125">
        <f>$Z$240*$K$240</f>
        <v>0</v>
      </c>
      <c r="AR240" s="6" t="s">
        <v>165</v>
      </c>
      <c r="AT240" s="6" t="s">
        <v>161</v>
      </c>
      <c r="AU240" s="6" t="s">
        <v>102</v>
      </c>
      <c r="AY240" s="6" t="s">
        <v>160</v>
      </c>
      <c r="BE240" s="77">
        <f>IF($U$240="základní",$N$240,0)</f>
        <v>0</v>
      </c>
      <c r="BF240" s="77">
        <f>IF($U$240="snížená",$N$240,0)</f>
        <v>0</v>
      </c>
      <c r="BG240" s="77">
        <f>IF($U$240="zákl. přenesená",$N$240,0)</f>
        <v>0</v>
      </c>
      <c r="BH240" s="77">
        <f>IF($U$240="sníž. přenesená",$N$240,0)</f>
        <v>0</v>
      </c>
      <c r="BI240" s="77">
        <f>IF($U$240="nulová",$N$240,0)</f>
        <v>0</v>
      </c>
      <c r="BJ240" s="6" t="s">
        <v>17</v>
      </c>
      <c r="BK240" s="77">
        <f>ROUND($L$240*$K$240,2)</f>
        <v>0</v>
      </c>
      <c r="BL240" s="6" t="s">
        <v>165</v>
      </c>
    </row>
    <row r="241" spans="2:51" s="6" customFormat="1" ht="27" customHeight="1">
      <c r="B241" s="126"/>
      <c r="E241" s="127"/>
      <c r="F241" s="198" t="s">
        <v>358</v>
      </c>
      <c r="G241" s="199"/>
      <c r="H241" s="199"/>
      <c r="I241" s="199"/>
      <c r="K241" s="128">
        <v>24.377</v>
      </c>
      <c r="R241" s="129"/>
      <c r="T241" s="130"/>
      <c r="AA241" s="131"/>
      <c r="AT241" s="127" t="s">
        <v>167</v>
      </c>
      <c r="AU241" s="127" t="s">
        <v>102</v>
      </c>
      <c r="AV241" s="127" t="s">
        <v>102</v>
      </c>
      <c r="AW241" s="127" t="s">
        <v>109</v>
      </c>
      <c r="AX241" s="127" t="s">
        <v>76</v>
      </c>
      <c r="AY241" s="127" t="s">
        <v>160</v>
      </c>
    </row>
    <row r="242" spans="2:51" s="6" customFormat="1" ht="15.75" customHeight="1">
      <c r="B242" s="126"/>
      <c r="E242" s="127"/>
      <c r="F242" s="198" t="s">
        <v>359</v>
      </c>
      <c r="G242" s="199"/>
      <c r="H242" s="199"/>
      <c r="I242" s="199"/>
      <c r="K242" s="128">
        <v>2.6</v>
      </c>
      <c r="R242" s="129"/>
      <c r="T242" s="130"/>
      <c r="AA242" s="131"/>
      <c r="AT242" s="127" t="s">
        <v>167</v>
      </c>
      <c r="AU242" s="127" t="s">
        <v>102</v>
      </c>
      <c r="AV242" s="127" t="s">
        <v>102</v>
      </c>
      <c r="AW242" s="127" t="s">
        <v>109</v>
      </c>
      <c r="AX242" s="127" t="s">
        <v>76</v>
      </c>
      <c r="AY242" s="127" t="s">
        <v>160</v>
      </c>
    </row>
    <row r="243" spans="2:51" s="6" customFormat="1" ht="15.75" customHeight="1">
      <c r="B243" s="132"/>
      <c r="E243" s="133"/>
      <c r="F243" s="200" t="s">
        <v>191</v>
      </c>
      <c r="G243" s="201"/>
      <c r="H243" s="201"/>
      <c r="I243" s="201"/>
      <c r="K243" s="134">
        <v>26.977</v>
      </c>
      <c r="R243" s="135"/>
      <c r="T243" s="136"/>
      <c r="AA243" s="137"/>
      <c r="AT243" s="133" t="s">
        <v>167</v>
      </c>
      <c r="AU243" s="133" t="s">
        <v>102</v>
      </c>
      <c r="AV243" s="133" t="s">
        <v>165</v>
      </c>
      <c r="AW243" s="133" t="s">
        <v>109</v>
      </c>
      <c r="AX243" s="133" t="s">
        <v>17</v>
      </c>
      <c r="AY243" s="133" t="s">
        <v>160</v>
      </c>
    </row>
    <row r="244" spans="2:64" s="6" customFormat="1" ht="27" customHeight="1">
      <c r="B244" s="21"/>
      <c r="C244" s="119" t="s">
        <v>360</v>
      </c>
      <c r="D244" s="119" t="s">
        <v>161</v>
      </c>
      <c r="E244" s="120" t="s">
        <v>361</v>
      </c>
      <c r="F244" s="194" t="s">
        <v>362</v>
      </c>
      <c r="G244" s="195"/>
      <c r="H244" s="195"/>
      <c r="I244" s="195"/>
      <c r="J244" s="121" t="s">
        <v>164</v>
      </c>
      <c r="K244" s="122">
        <v>31.71</v>
      </c>
      <c r="L244" s="196">
        <v>0</v>
      </c>
      <c r="M244" s="195"/>
      <c r="N244" s="197">
        <f>ROUND($L$244*$K$244,2)</f>
        <v>0</v>
      </c>
      <c r="O244" s="195"/>
      <c r="P244" s="195"/>
      <c r="Q244" s="195"/>
      <c r="R244" s="22"/>
      <c r="T244" s="123"/>
      <c r="U244" s="28" t="s">
        <v>41</v>
      </c>
      <c r="V244" s="124">
        <v>0.46</v>
      </c>
      <c r="W244" s="124">
        <f>$V$244*$K$244</f>
        <v>14.5866</v>
      </c>
      <c r="X244" s="124">
        <v>0.02636</v>
      </c>
      <c r="Y244" s="124">
        <f>$X$244*$K$244</f>
        <v>0.8358756</v>
      </c>
      <c r="Z244" s="124">
        <v>0</v>
      </c>
      <c r="AA244" s="125">
        <f>$Z$244*$K$244</f>
        <v>0</v>
      </c>
      <c r="AR244" s="6" t="s">
        <v>165</v>
      </c>
      <c r="AT244" s="6" t="s">
        <v>161</v>
      </c>
      <c r="AU244" s="6" t="s">
        <v>102</v>
      </c>
      <c r="AY244" s="6" t="s">
        <v>160</v>
      </c>
      <c r="BE244" s="77">
        <f>IF($U$244="základní",$N$244,0)</f>
        <v>0</v>
      </c>
      <c r="BF244" s="77">
        <f>IF($U$244="snížená",$N$244,0)</f>
        <v>0</v>
      </c>
      <c r="BG244" s="77">
        <f>IF($U$244="zákl. přenesená",$N$244,0)</f>
        <v>0</v>
      </c>
      <c r="BH244" s="77">
        <f>IF($U$244="sníž. přenesená",$N$244,0)</f>
        <v>0</v>
      </c>
      <c r="BI244" s="77">
        <f>IF($U$244="nulová",$N$244,0)</f>
        <v>0</v>
      </c>
      <c r="BJ244" s="6" t="s">
        <v>17</v>
      </c>
      <c r="BK244" s="77">
        <f>ROUND($L$244*$K$244,2)</f>
        <v>0</v>
      </c>
      <c r="BL244" s="6" t="s">
        <v>165</v>
      </c>
    </row>
    <row r="245" spans="2:51" s="6" customFormat="1" ht="15.75" customHeight="1">
      <c r="B245" s="126"/>
      <c r="E245" s="127"/>
      <c r="F245" s="198" t="s">
        <v>363</v>
      </c>
      <c r="G245" s="199"/>
      <c r="H245" s="199"/>
      <c r="I245" s="199"/>
      <c r="K245" s="128">
        <v>31.71</v>
      </c>
      <c r="R245" s="129"/>
      <c r="T245" s="130"/>
      <c r="AA245" s="131"/>
      <c r="AT245" s="127" t="s">
        <v>167</v>
      </c>
      <c r="AU245" s="127" t="s">
        <v>102</v>
      </c>
      <c r="AV245" s="127" t="s">
        <v>102</v>
      </c>
      <c r="AW245" s="127" t="s">
        <v>109</v>
      </c>
      <c r="AX245" s="127" t="s">
        <v>17</v>
      </c>
      <c r="AY245" s="127" t="s">
        <v>160</v>
      </c>
    </row>
    <row r="246" spans="2:64" s="6" customFormat="1" ht="27" customHeight="1">
      <c r="B246" s="21"/>
      <c r="C246" s="119" t="s">
        <v>364</v>
      </c>
      <c r="D246" s="119" t="s">
        <v>161</v>
      </c>
      <c r="E246" s="120" t="s">
        <v>365</v>
      </c>
      <c r="F246" s="194" t="s">
        <v>366</v>
      </c>
      <c r="G246" s="195"/>
      <c r="H246" s="195"/>
      <c r="I246" s="195"/>
      <c r="J246" s="121" t="s">
        <v>176</v>
      </c>
      <c r="K246" s="122">
        <v>2.045</v>
      </c>
      <c r="L246" s="196">
        <v>0</v>
      </c>
      <c r="M246" s="195"/>
      <c r="N246" s="197">
        <f>ROUND($L$246*$K$246,2)</f>
        <v>0</v>
      </c>
      <c r="O246" s="195"/>
      <c r="P246" s="195"/>
      <c r="Q246" s="195"/>
      <c r="R246" s="22"/>
      <c r="T246" s="123"/>
      <c r="U246" s="28" t="s">
        <v>41</v>
      </c>
      <c r="V246" s="124">
        <v>3.213</v>
      </c>
      <c r="W246" s="124">
        <f>$V$246*$K$246</f>
        <v>6.570585</v>
      </c>
      <c r="X246" s="124">
        <v>2.45329</v>
      </c>
      <c r="Y246" s="124">
        <f>$X$246*$K$246</f>
        <v>5.01697805</v>
      </c>
      <c r="Z246" s="124">
        <v>0</v>
      </c>
      <c r="AA246" s="125">
        <f>$Z$246*$K$246</f>
        <v>0</v>
      </c>
      <c r="AR246" s="6" t="s">
        <v>165</v>
      </c>
      <c r="AT246" s="6" t="s">
        <v>161</v>
      </c>
      <c r="AU246" s="6" t="s">
        <v>102</v>
      </c>
      <c r="AY246" s="6" t="s">
        <v>160</v>
      </c>
      <c r="BE246" s="77">
        <f>IF($U$246="základní",$N$246,0)</f>
        <v>0</v>
      </c>
      <c r="BF246" s="77">
        <f>IF($U$246="snížená",$N$246,0)</f>
        <v>0</v>
      </c>
      <c r="BG246" s="77">
        <f>IF($U$246="zákl. přenesená",$N$246,0)</f>
        <v>0</v>
      </c>
      <c r="BH246" s="77">
        <f>IF($U$246="sníž. přenesená",$N$246,0)</f>
        <v>0</v>
      </c>
      <c r="BI246" s="77">
        <f>IF($U$246="nulová",$N$246,0)</f>
        <v>0</v>
      </c>
      <c r="BJ246" s="6" t="s">
        <v>17</v>
      </c>
      <c r="BK246" s="77">
        <f>ROUND($L$246*$K$246,2)</f>
        <v>0</v>
      </c>
      <c r="BL246" s="6" t="s">
        <v>165</v>
      </c>
    </row>
    <row r="247" spans="2:51" s="6" customFormat="1" ht="15.75" customHeight="1">
      <c r="B247" s="126"/>
      <c r="E247" s="127"/>
      <c r="F247" s="198" t="s">
        <v>367</v>
      </c>
      <c r="G247" s="199"/>
      <c r="H247" s="199"/>
      <c r="I247" s="199"/>
      <c r="K247" s="128">
        <v>2.045</v>
      </c>
      <c r="R247" s="129"/>
      <c r="T247" s="130"/>
      <c r="AA247" s="131"/>
      <c r="AT247" s="127" t="s">
        <v>167</v>
      </c>
      <c r="AU247" s="127" t="s">
        <v>102</v>
      </c>
      <c r="AV247" s="127" t="s">
        <v>102</v>
      </c>
      <c r="AW247" s="127" t="s">
        <v>109</v>
      </c>
      <c r="AX247" s="127" t="s">
        <v>17</v>
      </c>
      <c r="AY247" s="127" t="s">
        <v>160</v>
      </c>
    </row>
    <row r="248" spans="2:64" s="6" customFormat="1" ht="27" customHeight="1">
      <c r="B248" s="21"/>
      <c r="C248" s="119" t="s">
        <v>368</v>
      </c>
      <c r="D248" s="119" t="s">
        <v>161</v>
      </c>
      <c r="E248" s="120" t="s">
        <v>369</v>
      </c>
      <c r="F248" s="194" t="s">
        <v>370</v>
      </c>
      <c r="G248" s="195"/>
      <c r="H248" s="195"/>
      <c r="I248" s="195"/>
      <c r="J248" s="121" t="s">
        <v>176</v>
      </c>
      <c r="K248" s="122">
        <v>2.045</v>
      </c>
      <c r="L248" s="196">
        <v>0</v>
      </c>
      <c r="M248" s="195"/>
      <c r="N248" s="197">
        <f>ROUND($L$248*$K$248,2)</f>
        <v>0</v>
      </c>
      <c r="O248" s="195"/>
      <c r="P248" s="195"/>
      <c r="Q248" s="195"/>
      <c r="R248" s="22"/>
      <c r="T248" s="123"/>
      <c r="U248" s="28" t="s">
        <v>41</v>
      </c>
      <c r="V248" s="124">
        <v>2.7</v>
      </c>
      <c r="W248" s="124">
        <f>$V$248*$K$248</f>
        <v>5.5215000000000005</v>
      </c>
      <c r="X248" s="124">
        <v>0</v>
      </c>
      <c r="Y248" s="124">
        <f>$X$248*$K$248</f>
        <v>0</v>
      </c>
      <c r="Z248" s="124">
        <v>0</v>
      </c>
      <c r="AA248" s="125">
        <f>$Z$248*$K$248</f>
        <v>0</v>
      </c>
      <c r="AR248" s="6" t="s">
        <v>165</v>
      </c>
      <c r="AT248" s="6" t="s">
        <v>161</v>
      </c>
      <c r="AU248" s="6" t="s">
        <v>102</v>
      </c>
      <c r="AY248" s="6" t="s">
        <v>160</v>
      </c>
      <c r="BE248" s="77">
        <f>IF($U$248="základní",$N$248,0)</f>
        <v>0</v>
      </c>
      <c r="BF248" s="77">
        <f>IF($U$248="snížená",$N$248,0)</f>
        <v>0</v>
      </c>
      <c r="BG248" s="77">
        <f>IF($U$248="zákl. přenesená",$N$248,0)</f>
        <v>0</v>
      </c>
      <c r="BH248" s="77">
        <f>IF($U$248="sníž. přenesená",$N$248,0)</f>
        <v>0</v>
      </c>
      <c r="BI248" s="77">
        <f>IF($U$248="nulová",$N$248,0)</f>
        <v>0</v>
      </c>
      <c r="BJ248" s="6" t="s">
        <v>17</v>
      </c>
      <c r="BK248" s="77">
        <f>ROUND($L$248*$K$248,2)</f>
        <v>0</v>
      </c>
      <c r="BL248" s="6" t="s">
        <v>165</v>
      </c>
    </row>
    <row r="249" spans="2:64" s="6" customFormat="1" ht="27" customHeight="1">
      <c r="B249" s="21"/>
      <c r="C249" s="119" t="s">
        <v>371</v>
      </c>
      <c r="D249" s="119" t="s">
        <v>161</v>
      </c>
      <c r="E249" s="120" t="s">
        <v>372</v>
      </c>
      <c r="F249" s="194" t="s">
        <v>373</v>
      </c>
      <c r="G249" s="195"/>
      <c r="H249" s="195"/>
      <c r="I249" s="195"/>
      <c r="J249" s="121" t="s">
        <v>164</v>
      </c>
      <c r="K249" s="122">
        <v>1.17</v>
      </c>
      <c r="L249" s="196">
        <v>0</v>
      </c>
      <c r="M249" s="195"/>
      <c r="N249" s="197">
        <f>ROUND($L$249*$K$249,2)</f>
        <v>0</v>
      </c>
      <c r="O249" s="195"/>
      <c r="P249" s="195"/>
      <c r="Q249" s="195"/>
      <c r="R249" s="22"/>
      <c r="T249" s="123"/>
      <c r="U249" s="28" t="s">
        <v>41</v>
      </c>
      <c r="V249" s="124">
        <v>0.348</v>
      </c>
      <c r="W249" s="124">
        <f>$V$249*$K$249</f>
        <v>0.40715999999999997</v>
      </c>
      <c r="X249" s="124">
        <v>0.04984</v>
      </c>
      <c r="Y249" s="124">
        <f>$X$249*$K$249</f>
        <v>0.0583128</v>
      </c>
      <c r="Z249" s="124">
        <v>0</v>
      </c>
      <c r="AA249" s="125">
        <f>$Z$249*$K$249</f>
        <v>0</v>
      </c>
      <c r="AR249" s="6" t="s">
        <v>165</v>
      </c>
      <c r="AT249" s="6" t="s">
        <v>161</v>
      </c>
      <c r="AU249" s="6" t="s">
        <v>102</v>
      </c>
      <c r="AY249" s="6" t="s">
        <v>160</v>
      </c>
      <c r="BE249" s="77">
        <f>IF($U$249="základní",$N$249,0)</f>
        <v>0</v>
      </c>
      <c r="BF249" s="77">
        <f>IF($U$249="snížená",$N$249,0)</f>
        <v>0</v>
      </c>
      <c r="BG249" s="77">
        <f>IF($U$249="zákl. přenesená",$N$249,0)</f>
        <v>0</v>
      </c>
      <c r="BH249" s="77">
        <f>IF($U$249="sníž. přenesená",$N$249,0)</f>
        <v>0</v>
      </c>
      <c r="BI249" s="77">
        <f>IF($U$249="nulová",$N$249,0)</f>
        <v>0</v>
      </c>
      <c r="BJ249" s="6" t="s">
        <v>17</v>
      </c>
      <c r="BK249" s="77">
        <f>ROUND($L$249*$K$249,2)</f>
        <v>0</v>
      </c>
      <c r="BL249" s="6" t="s">
        <v>165</v>
      </c>
    </row>
    <row r="250" spans="2:51" s="6" customFormat="1" ht="15.75" customHeight="1">
      <c r="B250" s="126"/>
      <c r="E250" s="127"/>
      <c r="F250" s="198" t="s">
        <v>374</v>
      </c>
      <c r="G250" s="199"/>
      <c r="H250" s="199"/>
      <c r="I250" s="199"/>
      <c r="K250" s="128">
        <v>1.17</v>
      </c>
      <c r="R250" s="129"/>
      <c r="T250" s="130"/>
      <c r="AA250" s="131"/>
      <c r="AT250" s="127" t="s">
        <v>167</v>
      </c>
      <c r="AU250" s="127" t="s">
        <v>102</v>
      </c>
      <c r="AV250" s="127" t="s">
        <v>102</v>
      </c>
      <c r="AW250" s="127" t="s">
        <v>109</v>
      </c>
      <c r="AX250" s="127" t="s">
        <v>17</v>
      </c>
      <c r="AY250" s="127" t="s">
        <v>160</v>
      </c>
    </row>
    <row r="251" spans="2:63" s="109" customFormat="1" ht="30.75" customHeight="1">
      <c r="B251" s="110"/>
      <c r="D251" s="118" t="s">
        <v>117</v>
      </c>
      <c r="N251" s="210">
        <f>$BK$251</f>
        <v>0</v>
      </c>
      <c r="O251" s="209"/>
      <c r="P251" s="209"/>
      <c r="Q251" s="209"/>
      <c r="R251" s="113"/>
      <c r="T251" s="114"/>
      <c r="W251" s="115">
        <f>$W$252+SUM($W$253:$W$279)</f>
        <v>141.618749</v>
      </c>
      <c r="Y251" s="115">
        <f>$Y$252+SUM($Y$253:$Y$279)</f>
        <v>0.4432112</v>
      </c>
      <c r="AA251" s="116">
        <f>$AA$252+SUM($AA$253:$AA$279)</f>
        <v>26.14174</v>
      </c>
      <c r="AR251" s="112" t="s">
        <v>17</v>
      </c>
      <c r="AT251" s="112" t="s">
        <v>75</v>
      </c>
      <c r="AU251" s="112" t="s">
        <v>17</v>
      </c>
      <c r="AY251" s="112" t="s">
        <v>160</v>
      </c>
      <c r="BK251" s="117">
        <f>$BK$252+SUM($BK$253:$BK$279)</f>
        <v>0</v>
      </c>
    </row>
    <row r="252" spans="2:64" s="6" customFormat="1" ht="39" customHeight="1">
      <c r="B252" s="21"/>
      <c r="C252" s="119" t="s">
        <v>375</v>
      </c>
      <c r="D252" s="119" t="s">
        <v>161</v>
      </c>
      <c r="E252" s="120" t="s">
        <v>376</v>
      </c>
      <c r="F252" s="194" t="s">
        <v>377</v>
      </c>
      <c r="G252" s="195"/>
      <c r="H252" s="195"/>
      <c r="I252" s="195"/>
      <c r="J252" s="121" t="s">
        <v>173</v>
      </c>
      <c r="K252" s="122">
        <v>2.4</v>
      </c>
      <c r="L252" s="196">
        <v>0</v>
      </c>
      <c r="M252" s="195"/>
      <c r="N252" s="197">
        <f>ROUND($L$252*$K$252,2)</f>
        <v>0</v>
      </c>
      <c r="O252" s="195"/>
      <c r="P252" s="195"/>
      <c r="Q252" s="195"/>
      <c r="R252" s="22"/>
      <c r="T252" s="123"/>
      <c r="U252" s="28" t="s">
        <v>41</v>
      </c>
      <c r="V252" s="124">
        <v>0.216</v>
      </c>
      <c r="W252" s="124">
        <f>$V$252*$K$252</f>
        <v>0.5184</v>
      </c>
      <c r="X252" s="124">
        <v>0.1295</v>
      </c>
      <c r="Y252" s="124">
        <f>$X$252*$K$252</f>
        <v>0.3108</v>
      </c>
      <c r="Z252" s="124">
        <v>0</v>
      </c>
      <c r="AA252" s="125">
        <f>$Z$252*$K$252</f>
        <v>0</v>
      </c>
      <c r="AR252" s="6" t="s">
        <v>165</v>
      </c>
      <c r="AT252" s="6" t="s">
        <v>161</v>
      </c>
      <c r="AU252" s="6" t="s">
        <v>102</v>
      </c>
      <c r="AY252" s="6" t="s">
        <v>160</v>
      </c>
      <c r="BE252" s="77">
        <f>IF($U$252="základní",$N$252,0)</f>
        <v>0</v>
      </c>
      <c r="BF252" s="77">
        <f>IF($U$252="snížená",$N$252,0)</f>
        <v>0</v>
      </c>
      <c r="BG252" s="77">
        <f>IF($U$252="zákl. přenesená",$N$252,0)</f>
        <v>0</v>
      </c>
      <c r="BH252" s="77">
        <f>IF($U$252="sníž. přenesená",$N$252,0)</f>
        <v>0</v>
      </c>
      <c r="BI252" s="77">
        <f>IF($U$252="nulová",$N$252,0)</f>
        <v>0</v>
      </c>
      <c r="BJ252" s="6" t="s">
        <v>17</v>
      </c>
      <c r="BK252" s="77">
        <f>ROUND($L$252*$K$252,2)</f>
        <v>0</v>
      </c>
      <c r="BL252" s="6" t="s">
        <v>165</v>
      </c>
    </row>
    <row r="253" spans="2:64" s="6" customFormat="1" ht="27" customHeight="1">
      <c r="B253" s="21"/>
      <c r="C253" s="138" t="s">
        <v>378</v>
      </c>
      <c r="D253" s="138" t="s">
        <v>276</v>
      </c>
      <c r="E253" s="139" t="s">
        <v>379</v>
      </c>
      <c r="F253" s="202" t="s">
        <v>380</v>
      </c>
      <c r="G253" s="203"/>
      <c r="H253" s="203"/>
      <c r="I253" s="203"/>
      <c r="J253" s="140" t="s">
        <v>213</v>
      </c>
      <c r="K253" s="141">
        <v>10</v>
      </c>
      <c r="L253" s="204">
        <v>0</v>
      </c>
      <c r="M253" s="203"/>
      <c r="N253" s="205">
        <f>ROUND($L$253*$K$253,2)</f>
        <v>0</v>
      </c>
      <c r="O253" s="195"/>
      <c r="P253" s="195"/>
      <c r="Q253" s="195"/>
      <c r="R253" s="22"/>
      <c r="T253" s="123"/>
      <c r="U253" s="28" t="s">
        <v>41</v>
      </c>
      <c r="V253" s="124">
        <v>0</v>
      </c>
      <c r="W253" s="124">
        <f>$V$253*$K$253</f>
        <v>0</v>
      </c>
      <c r="X253" s="124">
        <v>0.0129</v>
      </c>
      <c r="Y253" s="124">
        <f>$X$253*$K$253</f>
        <v>0.129</v>
      </c>
      <c r="Z253" s="124">
        <v>0</v>
      </c>
      <c r="AA253" s="125">
        <f>$Z$253*$K$253</f>
        <v>0</v>
      </c>
      <c r="AR253" s="6" t="s">
        <v>192</v>
      </c>
      <c r="AT253" s="6" t="s">
        <v>276</v>
      </c>
      <c r="AU253" s="6" t="s">
        <v>102</v>
      </c>
      <c r="AY253" s="6" t="s">
        <v>160</v>
      </c>
      <c r="BE253" s="77">
        <f>IF($U$253="základní",$N$253,0)</f>
        <v>0</v>
      </c>
      <c r="BF253" s="77">
        <f>IF($U$253="snížená",$N$253,0)</f>
        <v>0</v>
      </c>
      <c r="BG253" s="77">
        <f>IF($U$253="zákl. přenesená",$N$253,0)</f>
        <v>0</v>
      </c>
      <c r="BH253" s="77">
        <f>IF($U$253="sníž. přenesená",$N$253,0)</f>
        <v>0</v>
      </c>
      <c r="BI253" s="77">
        <f>IF($U$253="nulová",$N$253,0)</f>
        <v>0</v>
      </c>
      <c r="BJ253" s="6" t="s">
        <v>17</v>
      </c>
      <c r="BK253" s="77">
        <f>ROUND($L$253*$K$253,2)</f>
        <v>0</v>
      </c>
      <c r="BL253" s="6" t="s">
        <v>165</v>
      </c>
    </row>
    <row r="254" spans="2:64" s="6" customFormat="1" ht="39" customHeight="1">
      <c r="B254" s="21"/>
      <c r="C254" s="119" t="s">
        <v>381</v>
      </c>
      <c r="D254" s="119" t="s">
        <v>161</v>
      </c>
      <c r="E254" s="120" t="s">
        <v>382</v>
      </c>
      <c r="F254" s="194" t="s">
        <v>383</v>
      </c>
      <c r="G254" s="195"/>
      <c r="H254" s="195"/>
      <c r="I254" s="195"/>
      <c r="J254" s="121" t="s">
        <v>164</v>
      </c>
      <c r="K254" s="122">
        <v>6.08</v>
      </c>
      <c r="L254" s="196">
        <v>0</v>
      </c>
      <c r="M254" s="195"/>
      <c r="N254" s="197">
        <f>ROUND($L$254*$K$254,2)</f>
        <v>0</v>
      </c>
      <c r="O254" s="195"/>
      <c r="P254" s="195"/>
      <c r="Q254" s="195"/>
      <c r="R254" s="22"/>
      <c r="T254" s="123"/>
      <c r="U254" s="28" t="s">
        <v>41</v>
      </c>
      <c r="V254" s="124">
        <v>0.105</v>
      </c>
      <c r="W254" s="124">
        <f>$V$254*$K$254</f>
        <v>0.6384</v>
      </c>
      <c r="X254" s="124">
        <v>0.00013</v>
      </c>
      <c r="Y254" s="124">
        <f>$X$254*$K$254</f>
        <v>0.0007903999999999999</v>
      </c>
      <c r="Z254" s="124">
        <v>0</v>
      </c>
      <c r="AA254" s="125">
        <f>$Z$254*$K$254</f>
        <v>0</v>
      </c>
      <c r="AR254" s="6" t="s">
        <v>165</v>
      </c>
      <c r="AT254" s="6" t="s">
        <v>161</v>
      </c>
      <c r="AU254" s="6" t="s">
        <v>102</v>
      </c>
      <c r="AY254" s="6" t="s">
        <v>160</v>
      </c>
      <c r="BE254" s="77">
        <f>IF($U$254="základní",$N$254,0)</f>
        <v>0</v>
      </c>
      <c r="BF254" s="77">
        <f>IF($U$254="snížená",$N$254,0)</f>
        <v>0</v>
      </c>
      <c r="BG254" s="77">
        <f>IF($U$254="zákl. přenesená",$N$254,0)</f>
        <v>0</v>
      </c>
      <c r="BH254" s="77">
        <f>IF($U$254="sníž. přenesená",$N$254,0)</f>
        <v>0</v>
      </c>
      <c r="BI254" s="77">
        <f>IF($U$254="nulová",$N$254,0)</f>
        <v>0</v>
      </c>
      <c r="BJ254" s="6" t="s">
        <v>17</v>
      </c>
      <c r="BK254" s="77">
        <f>ROUND($L$254*$K$254,2)</f>
        <v>0</v>
      </c>
      <c r="BL254" s="6" t="s">
        <v>165</v>
      </c>
    </row>
    <row r="255" spans="2:51" s="6" customFormat="1" ht="15.75" customHeight="1">
      <c r="B255" s="126"/>
      <c r="E255" s="127"/>
      <c r="F255" s="198" t="s">
        <v>384</v>
      </c>
      <c r="G255" s="199"/>
      <c r="H255" s="199"/>
      <c r="I255" s="199"/>
      <c r="K255" s="128">
        <v>6.08</v>
      </c>
      <c r="R255" s="129"/>
      <c r="T255" s="130"/>
      <c r="AA255" s="131"/>
      <c r="AT255" s="127" t="s">
        <v>167</v>
      </c>
      <c r="AU255" s="127" t="s">
        <v>102</v>
      </c>
      <c r="AV255" s="127" t="s">
        <v>102</v>
      </c>
      <c r="AW255" s="127" t="s">
        <v>109</v>
      </c>
      <c r="AX255" s="127" t="s">
        <v>17</v>
      </c>
      <c r="AY255" s="127" t="s">
        <v>160</v>
      </c>
    </row>
    <row r="256" spans="2:64" s="6" customFormat="1" ht="39" customHeight="1">
      <c r="B256" s="21"/>
      <c r="C256" s="119" t="s">
        <v>385</v>
      </c>
      <c r="D256" s="119" t="s">
        <v>161</v>
      </c>
      <c r="E256" s="120" t="s">
        <v>386</v>
      </c>
      <c r="F256" s="194" t="s">
        <v>387</v>
      </c>
      <c r="G256" s="195"/>
      <c r="H256" s="195"/>
      <c r="I256" s="195"/>
      <c r="J256" s="121" t="s">
        <v>164</v>
      </c>
      <c r="K256" s="122">
        <v>5.68</v>
      </c>
      <c r="L256" s="196">
        <v>0</v>
      </c>
      <c r="M256" s="195"/>
      <c r="N256" s="197">
        <f>ROUND($L$256*$K$256,2)</f>
        <v>0</v>
      </c>
      <c r="O256" s="195"/>
      <c r="P256" s="195"/>
      <c r="Q256" s="195"/>
      <c r="R256" s="22"/>
      <c r="T256" s="123"/>
      <c r="U256" s="28" t="s">
        <v>41</v>
      </c>
      <c r="V256" s="124">
        <v>0.126</v>
      </c>
      <c r="W256" s="124">
        <f>$V$256*$K$256</f>
        <v>0.71568</v>
      </c>
      <c r="X256" s="124">
        <v>0.00021</v>
      </c>
      <c r="Y256" s="124">
        <f>$X$256*$K$256</f>
        <v>0.0011928</v>
      </c>
      <c r="Z256" s="124">
        <v>0</v>
      </c>
      <c r="AA256" s="125">
        <f>$Z$256*$K$256</f>
        <v>0</v>
      </c>
      <c r="AR256" s="6" t="s">
        <v>165</v>
      </c>
      <c r="AT256" s="6" t="s">
        <v>161</v>
      </c>
      <c r="AU256" s="6" t="s">
        <v>102</v>
      </c>
      <c r="AY256" s="6" t="s">
        <v>160</v>
      </c>
      <c r="BE256" s="77">
        <f>IF($U$256="základní",$N$256,0)</f>
        <v>0</v>
      </c>
      <c r="BF256" s="77">
        <f>IF($U$256="snížená",$N$256,0)</f>
        <v>0</v>
      </c>
      <c r="BG256" s="77">
        <f>IF($U$256="zákl. přenesená",$N$256,0)</f>
        <v>0</v>
      </c>
      <c r="BH256" s="77">
        <f>IF($U$256="sníž. přenesená",$N$256,0)</f>
        <v>0</v>
      </c>
      <c r="BI256" s="77">
        <f>IF($U$256="nulová",$N$256,0)</f>
        <v>0</v>
      </c>
      <c r="BJ256" s="6" t="s">
        <v>17</v>
      </c>
      <c r="BK256" s="77">
        <f>ROUND($L$256*$K$256,2)</f>
        <v>0</v>
      </c>
      <c r="BL256" s="6" t="s">
        <v>165</v>
      </c>
    </row>
    <row r="257" spans="2:51" s="6" customFormat="1" ht="15.75" customHeight="1">
      <c r="B257" s="126"/>
      <c r="E257" s="127"/>
      <c r="F257" s="198" t="s">
        <v>388</v>
      </c>
      <c r="G257" s="199"/>
      <c r="H257" s="199"/>
      <c r="I257" s="199"/>
      <c r="K257" s="128">
        <v>5.68</v>
      </c>
      <c r="R257" s="129"/>
      <c r="T257" s="130"/>
      <c r="AA257" s="131"/>
      <c r="AT257" s="127" t="s">
        <v>167</v>
      </c>
      <c r="AU257" s="127" t="s">
        <v>102</v>
      </c>
      <c r="AV257" s="127" t="s">
        <v>102</v>
      </c>
      <c r="AW257" s="127" t="s">
        <v>109</v>
      </c>
      <c r="AX257" s="127" t="s">
        <v>17</v>
      </c>
      <c r="AY257" s="127" t="s">
        <v>160</v>
      </c>
    </row>
    <row r="258" spans="2:64" s="6" customFormat="1" ht="27" customHeight="1">
      <c r="B258" s="21"/>
      <c r="C258" s="119" t="s">
        <v>389</v>
      </c>
      <c r="D258" s="119" t="s">
        <v>161</v>
      </c>
      <c r="E258" s="120" t="s">
        <v>390</v>
      </c>
      <c r="F258" s="194" t="s">
        <v>391</v>
      </c>
      <c r="G258" s="195"/>
      <c r="H258" s="195"/>
      <c r="I258" s="195"/>
      <c r="J258" s="121" t="s">
        <v>164</v>
      </c>
      <c r="K258" s="122">
        <v>35.7</v>
      </c>
      <c r="L258" s="196">
        <v>0</v>
      </c>
      <c r="M258" s="195"/>
      <c r="N258" s="197">
        <f>ROUND($L$258*$K$258,2)</f>
        <v>0</v>
      </c>
      <c r="O258" s="195"/>
      <c r="P258" s="195"/>
      <c r="Q258" s="195"/>
      <c r="R258" s="22"/>
      <c r="T258" s="123"/>
      <c r="U258" s="28" t="s">
        <v>41</v>
      </c>
      <c r="V258" s="124">
        <v>0.308</v>
      </c>
      <c r="W258" s="124">
        <f>$V$258*$K$258</f>
        <v>10.995600000000001</v>
      </c>
      <c r="X258" s="124">
        <v>4E-05</v>
      </c>
      <c r="Y258" s="124">
        <f>$X$258*$K$258</f>
        <v>0.0014280000000000002</v>
      </c>
      <c r="Z258" s="124">
        <v>0</v>
      </c>
      <c r="AA258" s="125">
        <f>$Z$258*$K$258</f>
        <v>0</v>
      </c>
      <c r="AR258" s="6" t="s">
        <v>165</v>
      </c>
      <c r="AT258" s="6" t="s">
        <v>161</v>
      </c>
      <c r="AU258" s="6" t="s">
        <v>102</v>
      </c>
      <c r="AY258" s="6" t="s">
        <v>160</v>
      </c>
      <c r="BE258" s="77">
        <f>IF($U$258="základní",$N$258,0)</f>
        <v>0</v>
      </c>
      <c r="BF258" s="77">
        <f>IF($U$258="snížená",$N$258,0)</f>
        <v>0</v>
      </c>
      <c r="BG258" s="77">
        <f>IF($U$258="zákl. přenesená",$N$258,0)</f>
        <v>0</v>
      </c>
      <c r="BH258" s="77">
        <f>IF($U$258="sníž. přenesená",$N$258,0)</f>
        <v>0</v>
      </c>
      <c r="BI258" s="77">
        <f>IF($U$258="nulová",$N$258,0)</f>
        <v>0</v>
      </c>
      <c r="BJ258" s="6" t="s">
        <v>17</v>
      </c>
      <c r="BK258" s="77">
        <f>ROUND($L$258*$K$258,2)</f>
        <v>0</v>
      </c>
      <c r="BL258" s="6" t="s">
        <v>165</v>
      </c>
    </row>
    <row r="259" spans="2:51" s="6" customFormat="1" ht="15.75" customHeight="1">
      <c r="B259" s="126"/>
      <c r="E259" s="127"/>
      <c r="F259" s="198" t="s">
        <v>392</v>
      </c>
      <c r="G259" s="199"/>
      <c r="H259" s="199"/>
      <c r="I259" s="199"/>
      <c r="K259" s="128">
        <v>35.7</v>
      </c>
      <c r="R259" s="129"/>
      <c r="T259" s="130"/>
      <c r="AA259" s="131"/>
      <c r="AT259" s="127" t="s">
        <v>167</v>
      </c>
      <c r="AU259" s="127" t="s">
        <v>102</v>
      </c>
      <c r="AV259" s="127" t="s">
        <v>102</v>
      </c>
      <c r="AW259" s="127" t="s">
        <v>109</v>
      </c>
      <c r="AX259" s="127" t="s">
        <v>17</v>
      </c>
      <c r="AY259" s="127" t="s">
        <v>160</v>
      </c>
    </row>
    <row r="260" spans="2:64" s="6" customFormat="1" ht="15.75" customHeight="1">
      <c r="B260" s="21"/>
      <c r="C260" s="119" t="s">
        <v>393</v>
      </c>
      <c r="D260" s="119" t="s">
        <v>161</v>
      </c>
      <c r="E260" s="120" t="s">
        <v>394</v>
      </c>
      <c r="F260" s="194" t="s">
        <v>395</v>
      </c>
      <c r="G260" s="195"/>
      <c r="H260" s="195"/>
      <c r="I260" s="195"/>
      <c r="J260" s="121" t="s">
        <v>176</v>
      </c>
      <c r="K260" s="122">
        <v>3.46</v>
      </c>
      <c r="L260" s="196">
        <v>0</v>
      </c>
      <c r="M260" s="195"/>
      <c r="N260" s="197">
        <f>ROUND($L$260*$K$260,2)</f>
        <v>0</v>
      </c>
      <c r="O260" s="195"/>
      <c r="P260" s="195"/>
      <c r="Q260" s="195"/>
      <c r="R260" s="22"/>
      <c r="T260" s="123"/>
      <c r="U260" s="28" t="s">
        <v>41</v>
      </c>
      <c r="V260" s="124">
        <v>6.436</v>
      </c>
      <c r="W260" s="124">
        <f>$V$260*$K$260</f>
        <v>22.26856</v>
      </c>
      <c r="X260" s="124">
        <v>0</v>
      </c>
      <c r="Y260" s="124">
        <f>$X$260*$K$260</f>
        <v>0</v>
      </c>
      <c r="Z260" s="124">
        <v>2</v>
      </c>
      <c r="AA260" s="125">
        <f>$Z$260*$K$260</f>
        <v>6.92</v>
      </c>
      <c r="AR260" s="6" t="s">
        <v>165</v>
      </c>
      <c r="AT260" s="6" t="s">
        <v>161</v>
      </c>
      <c r="AU260" s="6" t="s">
        <v>102</v>
      </c>
      <c r="AY260" s="6" t="s">
        <v>160</v>
      </c>
      <c r="BE260" s="77">
        <f>IF($U$260="základní",$N$260,0)</f>
        <v>0</v>
      </c>
      <c r="BF260" s="77">
        <f>IF($U$260="snížená",$N$260,0)</f>
        <v>0</v>
      </c>
      <c r="BG260" s="77">
        <f>IF($U$260="zákl. přenesená",$N$260,0)</f>
        <v>0</v>
      </c>
      <c r="BH260" s="77">
        <f>IF($U$260="sníž. přenesená",$N$260,0)</f>
        <v>0</v>
      </c>
      <c r="BI260" s="77">
        <f>IF($U$260="nulová",$N$260,0)</f>
        <v>0</v>
      </c>
      <c r="BJ260" s="6" t="s">
        <v>17</v>
      </c>
      <c r="BK260" s="77">
        <f>ROUND($L$260*$K$260,2)</f>
        <v>0</v>
      </c>
      <c r="BL260" s="6" t="s">
        <v>165</v>
      </c>
    </row>
    <row r="261" spans="2:51" s="6" customFormat="1" ht="15.75" customHeight="1">
      <c r="B261" s="126"/>
      <c r="E261" s="127"/>
      <c r="F261" s="198" t="s">
        <v>396</v>
      </c>
      <c r="G261" s="199"/>
      <c r="H261" s="199"/>
      <c r="I261" s="199"/>
      <c r="K261" s="128">
        <v>3.46</v>
      </c>
      <c r="R261" s="129"/>
      <c r="T261" s="130"/>
      <c r="AA261" s="131"/>
      <c r="AT261" s="127" t="s">
        <v>167</v>
      </c>
      <c r="AU261" s="127" t="s">
        <v>102</v>
      </c>
      <c r="AV261" s="127" t="s">
        <v>102</v>
      </c>
      <c r="AW261" s="127" t="s">
        <v>109</v>
      </c>
      <c r="AX261" s="127" t="s">
        <v>17</v>
      </c>
      <c r="AY261" s="127" t="s">
        <v>160</v>
      </c>
    </row>
    <row r="262" spans="2:64" s="6" customFormat="1" ht="27" customHeight="1">
      <c r="B262" s="21"/>
      <c r="C262" s="119" t="s">
        <v>397</v>
      </c>
      <c r="D262" s="119" t="s">
        <v>161</v>
      </c>
      <c r="E262" s="120" t="s">
        <v>398</v>
      </c>
      <c r="F262" s="194" t="s">
        <v>399</v>
      </c>
      <c r="G262" s="195"/>
      <c r="H262" s="195"/>
      <c r="I262" s="195"/>
      <c r="J262" s="121" t="s">
        <v>176</v>
      </c>
      <c r="K262" s="122">
        <v>1.465</v>
      </c>
      <c r="L262" s="196">
        <v>0</v>
      </c>
      <c r="M262" s="195"/>
      <c r="N262" s="197">
        <f>ROUND($L$262*$K$262,2)</f>
        <v>0</v>
      </c>
      <c r="O262" s="195"/>
      <c r="P262" s="195"/>
      <c r="Q262" s="195"/>
      <c r="R262" s="22"/>
      <c r="T262" s="123"/>
      <c r="U262" s="28" t="s">
        <v>41</v>
      </c>
      <c r="V262" s="124">
        <v>1.756</v>
      </c>
      <c r="W262" s="124">
        <f>$V$262*$K$262</f>
        <v>2.57254</v>
      </c>
      <c r="X262" s="124">
        <v>0</v>
      </c>
      <c r="Y262" s="124">
        <f>$X$262*$K$262</f>
        <v>0</v>
      </c>
      <c r="Z262" s="124">
        <v>2.5</v>
      </c>
      <c r="AA262" s="125">
        <f>$Z$262*$K$262</f>
        <v>3.6625</v>
      </c>
      <c r="AR262" s="6" t="s">
        <v>165</v>
      </c>
      <c r="AT262" s="6" t="s">
        <v>161</v>
      </c>
      <c r="AU262" s="6" t="s">
        <v>102</v>
      </c>
      <c r="AY262" s="6" t="s">
        <v>160</v>
      </c>
      <c r="BE262" s="77">
        <f>IF($U$262="základní",$N$262,0)</f>
        <v>0</v>
      </c>
      <c r="BF262" s="77">
        <f>IF($U$262="snížená",$N$262,0)</f>
        <v>0</v>
      </c>
      <c r="BG262" s="77">
        <f>IF($U$262="zákl. přenesená",$N$262,0)</f>
        <v>0</v>
      </c>
      <c r="BH262" s="77">
        <f>IF($U$262="sníž. přenesená",$N$262,0)</f>
        <v>0</v>
      </c>
      <c r="BI262" s="77">
        <f>IF($U$262="nulová",$N$262,0)</f>
        <v>0</v>
      </c>
      <c r="BJ262" s="6" t="s">
        <v>17</v>
      </c>
      <c r="BK262" s="77">
        <f>ROUND($L$262*$K$262,2)</f>
        <v>0</v>
      </c>
      <c r="BL262" s="6" t="s">
        <v>165</v>
      </c>
    </row>
    <row r="263" spans="2:51" s="6" customFormat="1" ht="27" customHeight="1">
      <c r="B263" s="126"/>
      <c r="E263" s="127"/>
      <c r="F263" s="198" t="s">
        <v>400</v>
      </c>
      <c r="G263" s="199"/>
      <c r="H263" s="199"/>
      <c r="I263" s="199"/>
      <c r="K263" s="128">
        <v>1.465</v>
      </c>
      <c r="R263" s="129"/>
      <c r="T263" s="130"/>
      <c r="AA263" s="131"/>
      <c r="AT263" s="127" t="s">
        <v>167</v>
      </c>
      <c r="AU263" s="127" t="s">
        <v>102</v>
      </c>
      <c r="AV263" s="127" t="s">
        <v>102</v>
      </c>
      <c r="AW263" s="127" t="s">
        <v>109</v>
      </c>
      <c r="AX263" s="127" t="s">
        <v>17</v>
      </c>
      <c r="AY263" s="127" t="s">
        <v>160</v>
      </c>
    </row>
    <row r="264" spans="2:64" s="6" customFormat="1" ht="27" customHeight="1">
      <c r="B264" s="21"/>
      <c r="C264" s="119" t="s">
        <v>401</v>
      </c>
      <c r="D264" s="119" t="s">
        <v>161</v>
      </c>
      <c r="E264" s="120" t="s">
        <v>402</v>
      </c>
      <c r="F264" s="194" t="s">
        <v>403</v>
      </c>
      <c r="G264" s="195"/>
      <c r="H264" s="195"/>
      <c r="I264" s="195"/>
      <c r="J264" s="121" t="s">
        <v>176</v>
      </c>
      <c r="K264" s="122">
        <v>2.058</v>
      </c>
      <c r="L264" s="196">
        <v>0</v>
      </c>
      <c r="M264" s="195"/>
      <c r="N264" s="197">
        <f>ROUND($L$264*$K$264,2)</f>
        <v>0</v>
      </c>
      <c r="O264" s="195"/>
      <c r="P264" s="195"/>
      <c r="Q264" s="195"/>
      <c r="R264" s="22"/>
      <c r="T264" s="123"/>
      <c r="U264" s="28" t="s">
        <v>41</v>
      </c>
      <c r="V264" s="124">
        <v>1.52</v>
      </c>
      <c r="W264" s="124">
        <f>$V$264*$K$264</f>
        <v>3.12816</v>
      </c>
      <c r="X264" s="124">
        <v>0</v>
      </c>
      <c r="Y264" s="124">
        <f>$X$264*$K$264</f>
        <v>0</v>
      </c>
      <c r="Z264" s="124">
        <v>1.8</v>
      </c>
      <c r="AA264" s="125">
        <f>$Z$264*$K$264</f>
        <v>3.7043999999999997</v>
      </c>
      <c r="AR264" s="6" t="s">
        <v>165</v>
      </c>
      <c r="AT264" s="6" t="s">
        <v>161</v>
      </c>
      <c r="AU264" s="6" t="s">
        <v>102</v>
      </c>
      <c r="AY264" s="6" t="s">
        <v>160</v>
      </c>
      <c r="BE264" s="77">
        <f>IF($U$264="základní",$N$264,0)</f>
        <v>0</v>
      </c>
      <c r="BF264" s="77">
        <f>IF($U$264="snížená",$N$264,0)</f>
        <v>0</v>
      </c>
      <c r="BG264" s="77">
        <f>IF($U$264="zákl. přenesená",$N$264,0)</f>
        <v>0</v>
      </c>
      <c r="BH264" s="77">
        <f>IF($U$264="sníž. přenesená",$N$264,0)</f>
        <v>0</v>
      </c>
      <c r="BI264" s="77">
        <f>IF($U$264="nulová",$N$264,0)</f>
        <v>0</v>
      </c>
      <c r="BJ264" s="6" t="s">
        <v>17</v>
      </c>
      <c r="BK264" s="77">
        <f>ROUND($L$264*$K$264,2)</f>
        <v>0</v>
      </c>
      <c r="BL264" s="6" t="s">
        <v>165</v>
      </c>
    </row>
    <row r="265" spans="2:51" s="6" customFormat="1" ht="15.75" customHeight="1">
      <c r="B265" s="126"/>
      <c r="E265" s="127"/>
      <c r="F265" s="198" t="s">
        <v>404</v>
      </c>
      <c r="G265" s="199"/>
      <c r="H265" s="199"/>
      <c r="I265" s="199"/>
      <c r="K265" s="128">
        <v>2.058</v>
      </c>
      <c r="R265" s="129"/>
      <c r="T265" s="130"/>
      <c r="AA265" s="131"/>
      <c r="AT265" s="127" t="s">
        <v>167</v>
      </c>
      <c r="AU265" s="127" t="s">
        <v>102</v>
      </c>
      <c r="AV265" s="127" t="s">
        <v>102</v>
      </c>
      <c r="AW265" s="127" t="s">
        <v>109</v>
      </c>
      <c r="AX265" s="127" t="s">
        <v>17</v>
      </c>
      <c r="AY265" s="127" t="s">
        <v>160</v>
      </c>
    </row>
    <row r="266" spans="2:64" s="6" customFormat="1" ht="27" customHeight="1">
      <c r="B266" s="21"/>
      <c r="C266" s="119" t="s">
        <v>405</v>
      </c>
      <c r="D266" s="119" t="s">
        <v>161</v>
      </c>
      <c r="E266" s="120" t="s">
        <v>406</v>
      </c>
      <c r="F266" s="194" t="s">
        <v>407</v>
      </c>
      <c r="G266" s="195"/>
      <c r="H266" s="195"/>
      <c r="I266" s="195"/>
      <c r="J266" s="121" t="s">
        <v>173</v>
      </c>
      <c r="K266" s="122">
        <v>7.5</v>
      </c>
      <c r="L266" s="196">
        <v>0</v>
      </c>
      <c r="M266" s="195"/>
      <c r="N266" s="197">
        <f>ROUND($L$266*$K$266,2)</f>
        <v>0</v>
      </c>
      <c r="O266" s="195"/>
      <c r="P266" s="195"/>
      <c r="Q266" s="195"/>
      <c r="R266" s="22"/>
      <c r="T266" s="123"/>
      <c r="U266" s="28" t="s">
        <v>41</v>
      </c>
      <c r="V266" s="124">
        <v>0.285</v>
      </c>
      <c r="W266" s="124">
        <f>$V$266*$K$266</f>
        <v>2.1374999999999997</v>
      </c>
      <c r="X266" s="124">
        <v>0</v>
      </c>
      <c r="Y266" s="124">
        <f>$X$266*$K$266</f>
        <v>0</v>
      </c>
      <c r="Z266" s="124">
        <v>0.112</v>
      </c>
      <c r="AA266" s="125">
        <f>$Z$266*$K$266</f>
        <v>0.84</v>
      </c>
      <c r="AR266" s="6" t="s">
        <v>165</v>
      </c>
      <c r="AT266" s="6" t="s">
        <v>161</v>
      </c>
      <c r="AU266" s="6" t="s">
        <v>102</v>
      </c>
      <c r="AY266" s="6" t="s">
        <v>160</v>
      </c>
      <c r="BE266" s="77">
        <f>IF($U$266="základní",$N$266,0)</f>
        <v>0</v>
      </c>
      <c r="BF266" s="77">
        <f>IF($U$266="snížená",$N$266,0)</f>
        <v>0</v>
      </c>
      <c r="BG266" s="77">
        <f>IF($U$266="zákl. přenesená",$N$266,0)</f>
        <v>0</v>
      </c>
      <c r="BH266" s="77">
        <f>IF($U$266="sníž. přenesená",$N$266,0)</f>
        <v>0</v>
      </c>
      <c r="BI266" s="77">
        <f>IF($U$266="nulová",$N$266,0)</f>
        <v>0</v>
      </c>
      <c r="BJ266" s="6" t="s">
        <v>17</v>
      </c>
      <c r="BK266" s="77">
        <f>ROUND($L$266*$K$266,2)</f>
        <v>0</v>
      </c>
      <c r="BL266" s="6" t="s">
        <v>165</v>
      </c>
    </row>
    <row r="267" spans="2:51" s="6" customFormat="1" ht="15.75" customHeight="1">
      <c r="B267" s="126"/>
      <c r="E267" s="127"/>
      <c r="F267" s="198" t="s">
        <v>408</v>
      </c>
      <c r="G267" s="199"/>
      <c r="H267" s="199"/>
      <c r="I267" s="199"/>
      <c r="K267" s="128">
        <v>7.5</v>
      </c>
      <c r="R267" s="129"/>
      <c r="T267" s="130"/>
      <c r="AA267" s="131"/>
      <c r="AT267" s="127" t="s">
        <v>167</v>
      </c>
      <c r="AU267" s="127" t="s">
        <v>102</v>
      </c>
      <c r="AV267" s="127" t="s">
        <v>102</v>
      </c>
      <c r="AW267" s="127" t="s">
        <v>109</v>
      </c>
      <c r="AX267" s="127" t="s">
        <v>17</v>
      </c>
      <c r="AY267" s="127" t="s">
        <v>160</v>
      </c>
    </row>
    <row r="268" spans="2:64" s="6" customFormat="1" ht="27" customHeight="1">
      <c r="B268" s="21"/>
      <c r="C268" s="119" t="s">
        <v>409</v>
      </c>
      <c r="D268" s="119" t="s">
        <v>161</v>
      </c>
      <c r="E268" s="120" t="s">
        <v>410</v>
      </c>
      <c r="F268" s="194" t="s">
        <v>411</v>
      </c>
      <c r="G268" s="195"/>
      <c r="H268" s="195"/>
      <c r="I268" s="195"/>
      <c r="J268" s="121" t="s">
        <v>176</v>
      </c>
      <c r="K268" s="122">
        <v>0.37</v>
      </c>
      <c r="L268" s="196">
        <v>0</v>
      </c>
      <c r="M268" s="195"/>
      <c r="N268" s="197">
        <f>ROUND($L$268*$K$268,2)</f>
        <v>0</v>
      </c>
      <c r="O268" s="195"/>
      <c r="P268" s="195"/>
      <c r="Q268" s="195"/>
      <c r="R268" s="22"/>
      <c r="T268" s="123"/>
      <c r="U268" s="28" t="s">
        <v>41</v>
      </c>
      <c r="V268" s="124">
        <v>10.773</v>
      </c>
      <c r="W268" s="124">
        <f>$V$268*$K$268</f>
        <v>3.98601</v>
      </c>
      <c r="X268" s="124">
        <v>0</v>
      </c>
      <c r="Y268" s="124">
        <f>$X$268*$K$268</f>
        <v>0</v>
      </c>
      <c r="Z268" s="124">
        <v>2.2</v>
      </c>
      <c r="AA268" s="125">
        <f>$Z$268*$K$268</f>
        <v>0.8140000000000001</v>
      </c>
      <c r="AR268" s="6" t="s">
        <v>165</v>
      </c>
      <c r="AT268" s="6" t="s">
        <v>161</v>
      </c>
      <c r="AU268" s="6" t="s">
        <v>102</v>
      </c>
      <c r="AY268" s="6" t="s">
        <v>160</v>
      </c>
      <c r="BE268" s="77">
        <f>IF($U$268="základní",$N$268,0)</f>
        <v>0</v>
      </c>
      <c r="BF268" s="77">
        <f>IF($U$268="snížená",$N$268,0)</f>
        <v>0</v>
      </c>
      <c r="BG268" s="77">
        <f>IF($U$268="zákl. přenesená",$N$268,0)</f>
        <v>0</v>
      </c>
      <c r="BH268" s="77">
        <f>IF($U$268="sníž. přenesená",$N$268,0)</f>
        <v>0</v>
      </c>
      <c r="BI268" s="77">
        <f>IF($U$268="nulová",$N$268,0)</f>
        <v>0</v>
      </c>
      <c r="BJ268" s="6" t="s">
        <v>17</v>
      </c>
      <c r="BK268" s="77">
        <f>ROUND($L$268*$K$268,2)</f>
        <v>0</v>
      </c>
      <c r="BL268" s="6" t="s">
        <v>165</v>
      </c>
    </row>
    <row r="269" spans="2:51" s="6" customFormat="1" ht="15.75" customHeight="1">
      <c r="B269" s="126"/>
      <c r="E269" s="127"/>
      <c r="F269" s="198" t="s">
        <v>412</v>
      </c>
      <c r="G269" s="199"/>
      <c r="H269" s="199"/>
      <c r="I269" s="199"/>
      <c r="K269" s="128">
        <v>0.37</v>
      </c>
      <c r="R269" s="129"/>
      <c r="T269" s="130"/>
      <c r="AA269" s="131"/>
      <c r="AT269" s="127" t="s">
        <v>167</v>
      </c>
      <c r="AU269" s="127" t="s">
        <v>102</v>
      </c>
      <c r="AV269" s="127" t="s">
        <v>102</v>
      </c>
      <c r="AW269" s="127" t="s">
        <v>109</v>
      </c>
      <c r="AX269" s="127" t="s">
        <v>17</v>
      </c>
      <c r="AY269" s="127" t="s">
        <v>160</v>
      </c>
    </row>
    <row r="270" spans="2:64" s="6" customFormat="1" ht="27" customHeight="1">
      <c r="B270" s="21"/>
      <c r="C270" s="119" t="s">
        <v>413</v>
      </c>
      <c r="D270" s="119" t="s">
        <v>161</v>
      </c>
      <c r="E270" s="120" t="s">
        <v>414</v>
      </c>
      <c r="F270" s="194" t="s">
        <v>415</v>
      </c>
      <c r="G270" s="195"/>
      <c r="H270" s="195"/>
      <c r="I270" s="195"/>
      <c r="J270" s="121" t="s">
        <v>164</v>
      </c>
      <c r="K270" s="122">
        <v>2.465</v>
      </c>
      <c r="L270" s="196">
        <v>0</v>
      </c>
      <c r="M270" s="195"/>
      <c r="N270" s="197">
        <f>ROUND($L$270*$K$270,2)</f>
        <v>0</v>
      </c>
      <c r="O270" s="195"/>
      <c r="P270" s="195"/>
      <c r="Q270" s="195"/>
      <c r="R270" s="22"/>
      <c r="T270" s="123"/>
      <c r="U270" s="28" t="s">
        <v>41</v>
      </c>
      <c r="V270" s="124">
        <v>0.375</v>
      </c>
      <c r="W270" s="124">
        <f>$V$270*$K$270</f>
        <v>0.924375</v>
      </c>
      <c r="X270" s="124">
        <v>0</v>
      </c>
      <c r="Y270" s="124">
        <f>$X$270*$K$270</f>
        <v>0</v>
      </c>
      <c r="Z270" s="124">
        <v>0.12</v>
      </c>
      <c r="AA270" s="125">
        <f>$Z$270*$K$270</f>
        <v>0.29579999999999995</v>
      </c>
      <c r="AR270" s="6" t="s">
        <v>165</v>
      </c>
      <c r="AT270" s="6" t="s">
        <v>161</v>
      </c>
      <c r="AU270" s="6" t="s">
        <v>102</v>
      </c>
      <c r="AY270" s="6" t="s">
        <v>160</v>
      </c>
      <c r="BE270" s="77">
        <f>IF($U$270="základní",$N$270,0)</f>
        <v>0</v>
      </c>
      <c r="BF270" s="77">
        <f>IF($U$270="snížená",$N$270,0)</f>
        <v>0</v>
      </c>
      <c r="BG270" s="77">
        <f>IF($U$270="zákl. přenesená",$N$270,0)</f>
        <v>0</v>
      </c>
      <c r="BH270" s="77">
        <f>IF($U$270="sníž. přenesená",$N$270,0)</f>
        <v>0</v>
      </c>
      <c r="BI270" s="77">
        <f>IF($U$270="nulová",$N$270,0)</f>
        <v>0</v>
      </c>
      <c r="BJ270" s="6" t="s">
        <v>17</v>
      </c>
      <c r="BK270" s="77">
        <f>ROUND($L$270*$K$270,2)</f>
        <v>0</v>
      </c>
      <c r="BL270" s="6" t="s">
        <v>165</v>
      </c>
    </row>
    <row r="271" spans="2:51" s="6" customFormat="1" ht="15.75" customHeight="1">
      <c r="B271" s="126"/>
      <c r="E271" s="127"/>
      <c r="F271" s="198" t="s">
        <v>416</v>
      </c>
      <c r="G271" s="199"/>
      <c r="H271" s="199"/>
      <c r="I271" s="199"/>
      <c r="K271" s="128">
        <v>2.465</v>
      </c>
      <c r="R271" s="129"/>
      <c r="T271" s="130"/>
      <c r="AA271" s="131"/>
      <c r="AT271" s="127" t="s">
        <v>167</v>
      </c>
      <c r="AU271" s="127" t="s">
        <v>102</v>
      </c>
      <c r="AV271" s="127" t="s">
        <v>102</v>
      </c>
      <c r="AW271" s="127" t="s">
        <v>109</v>
      </c>
      <c r="AX271" s="127" t="s">
        <v>17</v>
      </c>
      <c r="AY271" s="127" t="s">
        <v>160</v>
      </c>
    </row>
    <row r="272" spans="2:64" s="6" customFormat="1" ht="27" customHeight="1">
      <c r="B272" s="21"/>
      <c r="C272" s="119" t="s">
        <v>417</v>
      </c>
      <c r="D272" s="119" t="s">
        <v>161</v>
      </c>
      <c r="E272" s="120" t="s">
        <v>418</v>
      </c>
      <c r="F272" s="194" t="s">
        <v>419</v>
      </c>
      <c r="G272" s="195"/>
      <c r="H272" s="195"/>
      <c r="I272" s="195"/>
      <c r="J272" s="121" t="s">
        <v>176</v>
      </c>
      <c r="K272" s="122">
        <v>5.869</v>
      </c>
      <c r="L272" s="196">
        <v>0</v>
      </c>
      <c r="M272" s="195"/>
      <c r="N272" s="197">
        <f>ROUND($L$272*$K$272,2)</f>
        <v>0</v>
      </c>
      <c r="O272" s="195"/>
      <c r="P272" s="195"/>
      <c r="Q272" s="195"/>
      <c r="R272" s="22"/>
      <c r="T272" s="123"/>
      <c r="U272" s="28" t="s">
        <v>41</v>
      </c>
      <c r="V272" s="124">
        <v>1.375</v>
      </c>
      <c r="W272" s="124">
        <f>$V$272*$K$272</f>
        <v>8.069875</v>
      </c>
      <c r="X272" s="124">
        <v>0</v>
      </c>
      <c r="Y272" s="124">
        <f>$X$272*$K$272</f>
        <v>0</v>
      </c>
      <c r="Z272" s="124">
        <v>1.4</v>
      </c>
      <c r="AA272" s="125">
        <f>$Z$272*$K$272</f>
        <v>8.2166</v>
      </c>
      <c r="AR272" s="6" t="s">
        <v>165</v>
      </c>
      <c r="AT272" s="6" t="s">
        <v>161</v>
      </c>
      <c r="AU272" s="6" t="s">
        <v>102</v>
      </c>
      <c r="AY272" s="6" t="s">
        <v>160</v>
      </c>
      <c r="BE272" s="77">
        <f>IF($U$272="základní",$N$272,0)</f>
        <v>0</v>
      </c>
      <c r="BF272" s="77">
        <f>IF($U$272="snížená",$N$272,0)</f>
        <v>0</v>
      </c>
      <c r="BG272" s="77">
        <f>IF($U$272="zákl. přenesená",$N$272,0)</f>
        <v>0</v>
      </c>
      <c r="BH272" s="77">
        <f>IF($U$272="sníž. přenesená",$N$272,0)</f>
        <v>0</v>
      </c>
      <c r="BI272" s="77">
        <f>IF($U$272="nulová",$N$272,0)</f>
        <v>0</v>
      </c>
      <c r="BJ272" s="6" t="s">
        <v>17</v>
      </c>
      <c r="BK272" s="77">
        <f>ROUND($L$272*$K$272,2)</f>
        <v>0</v>
      </c>
      <c r="BL272" s="6" t="s">
        <v>165</v>
      </c>
    </row>
    <row r="273" spans="2:51" s="6" customFormat="1" ht="27" customHeight="1">
      <c r="B273" s="126"/>
      <c r="E273" s="127"/>
      <c r="F273" s="198" t="s">
        <v>420</v>
      </c>
      <c r="G273" s="199"/>
      <c r="H273" s="199"/>
      <c r="I273" s="199"/>
      <c r="K273" s="128">
        <v>5.869</v>
      </c>
      <c r="R273" s="129"/>
      <c r="T273" s="130"/>
      <c r="AA273" s="131"/>
      <c r="AT273" s="127" t="s">
        <v>167</v>
      </c>
      <c r="AU273" s="127" t="s">
        <v>102</v>
      </c>
      <c r="AV273" s="127" t="s">
        <v>102</v>
      </c>
      <c r="AW273" s="127" t="s">
        <v>109</v>
      </c>
      <c r="AX273" s="127" t="s">
        <v>17</v>
      </c>
      <c r="AY273" s="127" t="s">
        <v>160</v>
      </c>
    </row>
    <row r="274" spans="2:64" s="6" customFormat="1" ht="15.75" customHeight="1">
      <c r="B274" s="21"/>
      <c r="C274" s="119" t="s">
        <v>421</v>
      </c>
      <c r="D274" s="119" t="s">
        <v>161</v>
      </c>
      <c r="E274" s="120" t="s">
        <v>422</v>
      </c>
      <c r="F274" s="194" t="s">
        <v>423</v>
      </c>
      <c r="G274" s="195"/>
      <c r="H274" s="195"/>
      <c r="I274" s="195"/>
      <c r="J274" s="121" t="s">
        <v>173</v>
      </c>
      <c r="K274" s="122">
        <v>6.3</v>
      </c>
      <c r="L274" s="196">
        <v>0</v>
      </c>
      <c r="M274" s="195"/>
      <c r="N274" s="197">
        <f>ROUND($L$274*$K$274,2)</f>
        <v>0</v>
      </c>
      <c r="O274" s="195"/>
      <c r="P274" s="195"/>
      <c r="Q274" s="195"/>
      <c r="R274" s="22"/>
      <c r="T274" s="123"/>
      <c r="U274" s="28" t="s">
        <v>41</v>
      </c>
      <c r="V274" s="124">
        <v>0.23</v>
      </c>
      <c r="W274" s="124">
        <f>$V$274*$K$274</f>
        <v>1.449</v>
      </c>
      <c r="X274" s="124">
        <v>0</v>
      </c>
      <c r="Y274" s="124">
        <f>$X$274*$K$274</f>
        <v>0</v>
      </c>
      <c r="Z274" s="124">
        <v>0</v>
      </c>
      <c r="AA274" s="125">
        <f>$Z$274*$K$274</f>
        <v>0</v>
      </c>
      <c r="AR274" s="6" t="s">
        <v>165</v>
      </c>
      <c r="AT274" s="6" t="s">
        <v>161</v>
      </c>
      <c r="AU274" s="6" t="s">
        <v>102</v>
      </c>
      <c r="AY274" s="6" t="s">
        <v>160</v>
      </c>
      <c r="BE274" s="77">
        <f>IF($U$274="základní",$N$274,0)</f>
        <v>0</v>
      </c>
      <c r="BF274" s="77">
        <f>IF($U$274="snížená",$N$274,0)</f>
        <v>0</v>
      </c>
      <c r="BG274" s="77">
        <f>IF($U$274="zákl. přenesená",$N$274,0)</f>
        <v>0</v>
      </c>
      <c r="BH274" s="77">
        <f>IF($U$274="sníž. přenesená",$N$274,0)</f>
        <v>0</v>
      </c>
      <c r="BI274" s="77">
        <f>IF($U$274="nulová",$N$274,0)</f>
        <v>0</v>
      </c>
      <c r="BJ274" s="6" t="s">
        <v>17</v>
      </c>
      <c r="BK274" s="77">
        <f>ROUND($L$274*$K$274,2)</f>
        <v>0</v>
      </c>
      <c r="BL274" s="6" t="s">
        <v>165</v>
      </c>
    </row>
    <row r="275" spans="2:51" s="6" customFormat="1" ht="15.75" customHeight="1">
      <c r="B275" s="126"/>
      <c r="E275" s="127"/>
      <c r="F275" s="198" t="s">
        <v>424</v>
      </c>
      <c r="G275" s="199"/>
      <c r="H275" s="199"/>
      <c r="I275" s="199"/>
      <c r="K275" s="128">
        <v>6.3</v>
      </c>
      <c r="R275" s="129"/>
      <c r="T275" s="130"/>
      <c r="AA275" s="131"/>
      <c r="AT275" s="127" t="s">
        <v>167</v>
      </c>
      <c r="AU275" s="127" t="s">
        <v>102</v>
      </c>
      <c r="AV275" s="127" t="s">
        <v>102</v>
      </c>
      <c r="AW275" s="127" t="s">
        <v>109</v>
      </c>
      <c r="AX275" s="127" t="s">
        <v>17</v>
      </c>
      <c r="AY275" s="127" t="s">
        <v>160</v>
      </c>
    </row>
    <row r="276" spans="2:64" s="6" customFormat="1" ht="15.75" customHeight="1">
      <c r="B276" s="21"/>
      <c r="C276" s="119" t="s">
        <v>425</v>
      </c>
      <c r="D276" s="119" t="s">
        <v>161</v>
      </c>
      <c r="E276" s="120" t="s">
        <v>426</v>
      </c>
      <c r="F276" s="194" t="s">
        <v>427</v>
      </c>
      <c r="G276" s="195"/>
      <c r="H276" s="195"/>
      <c r="I276" s="195"/>
      <c r="J276" s="121" t="s">
        <v>176</v>
      </c>
      <c r="K276" s="122">
        <v>0.425</v>
      </c>
      <c r="L276" s="196">
        <v>0</v>
      </c>
      <c r="M276" s="195"/>
      <c r="N276" s="197">
        <f>ROUND($L$276*$K$276,2)</f>
        <v>0</v>
      </c>
      <c r="O276" s="195"/>
      <c r="P276" s="195"/>
      <c r="Q276" s="195"/>
      <c r="R276" s="22"/>
      <c r="T276" s="123"/>
      <c r="U276" s="28" t="s">
        <v>41</v>
      </c>
      <c r="V276" s="124">
        <v>3.04</v>
      </c>
      <c r="W276" s="124">
        <f>$V$276*$K$276</f>
        <v>1.292</v>
      </c>
      <c r="X276" s="124">
        <v>0</v>
      </c>
      <c r="Y276" s="124">
        <f>$X$276*$K$276</f>
        <v>0</v>
      </c>
      <c r="Z276" s="124">
        <v>2.6</v>
      </c>
      <c r="AA276" s="125">
        <f>$Z$276*$K$276</f>
        <v>1.105</v>
      </c>
      <c r="AR276" s="6" t="s">
        <v>165</v>
      </c>
      <c r="AT276" s="6" t="s">
        <v>161</v>
      </c>
      <c r="AU276" s="6" t="s">
        <v>102</v>
      </c>
      <c r="AY276" s="6" t="s">
        <v>160</v>
      </c>
      <c r="BE276" s="77">
        <f>IF($U$276="základní",$N$276,0)</f>
        <v>0</v>
      </c>
      <c r="BF276" s="77">
        <f>IF($U$276="snížená",$N$276,0)</f>
        <v>0</v>
      </c>
      <c r="BG276" s="77">
        <f>IF($U$276="zákl. přenesená",$N$276,0)</f>
        <v>0</v>
      </c>
      <c r="BH276" s="77">
        <f>IF($U$276="sníž. přenesená",$N$276,0)</f>
        <v>0</v>
      </c>
      <c r="BI276" s="77">
        <f>IF($U$276="nulová",$N$276,0)</f>
        <v>0</v>
      </c>
      <c r="BJ276" s="6" t="s">
        <v>17</v>
      </c>
      <c r="BK276" s="77">
        <f>ROUND($L$276*$K$276,2)</f>
        <v>0</v>
      </c>
      <c r="BL276" s="6" t="s">
        <v>165</v>
      </c>
    </row>
    <row r="277" spans="2:51" s="6" customFormat="1" ht="15.75" customHeight="1">
      <c r="B277" s="126"/>
      <c r="E277" s="127"/>
      <c r="F277" s="198" t="s">
        <v>428</v>
      </c>
      <c r="G277" s="199"/>
      <c r="H277" s="199"/>
      <c r="I277" s="199"/>
      <c r="K277" s="128">
        <v>0.425</v>
      </c>
      <c r="R277" s="129"/>
      <c r="T277" s="130"/>
      <c r="AA277" s="131"/>
      <c r="AT277" s="127" t="s">
        <v>167</v>
      </c>
      <c r="AU277" s="127" t="s">
        <v>102</v>
      </c>
      <c r="AV277" s="127" t="s">
        <v>102</v>
      </c>
      <c r="AW277" s="127" t="s">
        <v>109</v>
      </c>
      <c r="AX277" s="127" t="s">
        <v>17</v>
      </c>
      <c r="AY277" s="127" t="s">
        <v>160</v>
      </c>
    </row>
    <row r="278" spans="2:64" s="6" customFormat="1" ht="27" customHeight="1">
      <c r="B278" s="21"/>
      <c r="C278" s="119" t="s">
        <v>429</v>
      </c>
      <c r="D278" s="119" t="s">
        <v>161</v>
      </c>
      <c r="E278" s="120" t="s">
        <v>430</v>
      </c>
      <c r="F278" s="194" t="s">
        <v>431</v>
      </c>
      <c r="G278" s="195"/>
      <c r="H278" s="195"/>
      <c r="I278" s="195"/>
      <c r="J278" s="121" t="s">
        <v>173</v>
      </c>
      <c r="K278" s="122">
        <v>3.12</v>
      </c>
      <c r="L278" s="196">
        <v>0</v>
      </c>
      <c r="M278" s="195"/>
      <c r="N278" s="197">
        <f>ROUND($L$278*$K$278,2)</f>
        <v>0</v>
      </c>
      <c r="O278" s="195"/>
      <c r="P278" s="195"/>
      <c r="Q278" s="195"/>
      <c r="R278" s="22"/>
      <c r="T278" s="123"/>
      <c r="U278" s="28" t="s">
        <v>41</v>
      </c>
      <c r="V278" s="124">
        <v>1.836</v>
      </c>
      <c r="W278" s="124">
        <f>$V$278*$K$278</f>
        <v>5.72832</v>
      </c>
      <c r="X278" s="124">
        <v>0</v>
      </c>
      <c r="Y278" s="124">
        <f>$X$278*$K$278</f>
        <v>0</v>
      </c>
      <c r="Z278" s="124">
        <v>0.187</v>
      </c>
      <c r="AA278" s="125">
        <f>$Z$278*$K$278</f>
        <v>0.5834400000000001</v>
      </c>
      <c r="AR278" s="6" t="s">
        <v>165</v>
      </c>
      <c r="AT278" s="6" t="s">
        <v>161</v>
      </c>
      <c r="AU278" s="6" t="s">
        <v>102</v>
      </c>
      <c r="AY278" s="6" t="s">
        <v>160</v>
      </c>
      <c r="BE278" s="77">
        <f>IF($U$278="základní",$N$278,0)</f>
        <v>0</v>
      </c>
      <c r="BF278" s="77">
        <f>IF($U$278="snížená",$N$278,0)</f>
        <v>0</v>
      </c>
      <c r="BG278" s="77">
        <f>IF($U$278="zákl. přenesená",$N$278,0)</f>
        <v>0</v>
      </c>
      <c r="BH278" s="77">
        <f>IF($U$278="sníž. přenesená",$N$278,0)</f>
        <v>0</v>
      </c>
      <c r="BI278" s="77">
        <f>IF($U$278="nulová",$N$278,0)</f>
        <v>0</v>
      </c>
      <c r="BJ278" s="6" t="s">
        <v>17</v>
      </c>
      <c r="BK278" s="77">
        <f>ROUND($L$278*$K$278,2)</f>
        <v>0</v>
      </c>
      <c r="BL278" s="6" t="s">
        <v>165</v>
      </c>
    </row>
    <row r="279" spans="2:63" s="109" customFormat="1" ht="23.25" customHeight="1">
      <c r="B279" s="110"/>
      <c r="D279" s="118" t="s">
        <v>118</v>
      </c>
      <c r="N279" s="210">
        <f>$BK$279</f>
        <v>0</v>
      </c>
      <c r="O279" s="209"/>
      <c r="P279" s="209"/>
      <c r="Q279" s="209"/>
      <c r="R279" s="113"/>
      <c r="T279" s="114"/>
      <c r="W279" s="115">
        <f>SUM($W$280:$W$285)</f>
        <v>77.194329</v>
      </c>
      <c r="Y279" s="115">
        <f>SUM($Y$280:$Y$285)</f>
        <v>0</v>
      </c>
      <c r="AA279" s="116">
        <f>SUM($AA$280:$AA$285)</f>
        <v>0</v>
      </c>
      <c r="AR279" s="112" t="s">
        <v>17</v>
      </c>
      <c r="AT279" s="112" t="s">
        <v>75</v>
      </c>
      <c r="AU279" s="112" t="s">
        <v>102</v>
      </c>
      <c r="AY279" s="112" t="s">
        <v>160</v>
      </c>
      <c r="BK279" s="117">
        <f>SUM($BK$280:$BK$285)</f>
        <v>0</v>
      </c>
    </row>
    <row r="280" spans="2:64" s="6" customFormat="1" ht="15.75" customHeight="1">
      <c r="B280" s="21"/>
      <c r="C280" s="119" t="s">
        <v>432</v>
      </c>
      <c r="D280" s="119" t="s">
        <v>161</v>
      </c>
      <c r="E280" s="120" t="s">
        <v>433</v>
      </c>
      <c r="F280" s="194" t="s">
        <v>434</v>
      </c>
      <c r="G280" s="195"/>
      <c r="H280" s="195"/>
      <c r="I280" s="195"/>
      <c r="J280" s="121" t="s">
        <v>208</v>
      </c>
      <c r="K280" s="122">
        <v>32.225</v>
      </c>
      <c r="L280" s="196">
        <v>0</v>
      </c>
      <c r="M280" s="195"/>
      <c r="N280" s="197">
        <f>ROUND($L$280*$K$280,2)</f>
        <v>0</v>
      </c>
      <c r="O280" s="195"/>
      <c r="P280" s="195"/>
      <c r="Q280" s="195"/>
      <c r="R280" s="22"/>
      <c r="T280" s="123"/>
      <c r="U280" s="28" t="s">
        <v>41</v>
      </c>
      <c r="V280" s="124">
        <v>0.136</v>
      </c>
      <c r="W280" s="124">
        <f>$V$280*$K$280</f>
        <v>4.382600000000001</v>
      </c>
      <c r="X280" s="124">
        <v>0</v>
      </c>
      <c r="Y280" s="124">
        <f>$X$280*$K$280</f>
        <v>0</v>
      </c>
      <c r="Z280" s="124">
        <v>0</v>
      </c>
      <c r="AA280" s="125">
        <f>$Z$280*$K$280</f>
        <v>0</v>
      </c>
      <c r="AR280" s="6" t="s">
        <v>165</v>
      </c>
      <c r="AT280" s="6" t="s">
        <v>161</v>
      </c>
      <c r="AU280" s="6" t="s">
        <v>170</v>
      </c>
      <c r="AY280" s="6" t="s">
        <v>160</v>
      </c>
      <c r="BE280" s="77">
        <f>IF($U$280="základní",$N$280,0)</f>
        <v>0</v>
      </c>
      <c r="BF280" s="77">
        <f>IF($U$280="snížená",$N$280,0)</f>
        <v>0</v>
      </c>
      <c r="BG280" s="77">
        <f>IF($U$280="zákl. přenesená",$N$280,0)</f>
        <v>0</v>
      </c>
      <c r="BH280" s="77">
        <f>IF($U$280="sníž. přenesená",$N$280,0)</f>
        <v>0</v>
      </c>
      <c r="BI280" s="77">
        <f>IF($U$280="nulová",$N$280,0)</f>
        <v>0</v>
      </c>
      <c r="BJ280" s="6" t="s">
        <v>17</v>
      </c>
      <c r="BK280" s="77">
        <f>ROUND($L$280*$K$280,2)</f>
        <v>0</v>
      </c>
      <c r="BL280" s="6" t="s">
        <v>165</v>
      </c>
    </row>
    <row r="281" spans="2:64" s="6" customFormat="1" ht="27" customHeight="1">
      <c r="B281" s="21"/>
      <c r="C281" s="119" t="s">
        <v>435</v>
      </c>
      <c r="D281" s="119" t="s">
        <v>161</v>
      </c>
      <c r="E281" s="120" t="s">
        <v>436</v>
      </c>
      <c r="F281" s="194" t="s">
        <v>437</v>
      </c>
      <c r="G281" s="195"/>
      <c r="H281" s="195"/>
      <c r="I281" s="195"/>
      <c r="J281" s="121" t="s">
        <v>208</v>
      </c>
      <c r="K281" s="122">
        <v>32.225</v>
      </c>
      <c r="L281" s="196">
        <v>0</v>
      </c>
      <c r="M281" s="195"/>
      <c r="N281" s="197">
        <f>ROUND($L$281*$K$281,2)</f>
        <v>0</v>
      </c>
      <c r="O281" s="195"/>
      <c r="P281" s="195"/>
      <c r="Q281" s="195"/>
      <c r="R281" s="22"/>
      <c r="T281" s="123"/>
      <c r="U281" s="28" t="s">
        <v>41</v>
      </c>
      <c r="V281" s="124">
        <v>0.125</v>
      </c>
      <c r="W281" s="124">
        <f>$V$281*$K$281</f>
        <v>4.028125</v>
      </c>
      <c r="X281" s="124">
        <v>0</v>
      </c>
      <c r="Y281" s="124">
        <f>$X$281*$K$281</f>
        <v>0</v>
      </c>
      <c r="Z281" s="124">
        <v>0</v>
      </c>
      <c r="AA281" s="125">
        <f>$Z$281*$K$281</f>
        <v>0</v>
      </c>
      <c r="AR281" s="6" t="s">
        <v>165</v>
      </c>
      <c r="AT281" s="6" t="s">
        <v>161</v>
      </c>
      <c r="AU281" s="6" t="s">
        <v>170</v>
      </c>
      <c r="AY281" s="6" t="s">
        <v>160</v>
      </c>
      <c r="BE281" s="77">
        <f>IF($U$281="základní",$N$281,0)</f>
        <v>0</v>
      </c>
      <c r="BF281" s="77">
        <f>IF($U$281="snížená",$N$281,0)</f>
        <v>0</v>
      </c>
      <c r="BG281" s="77">
        <f>IF($U$281="zákl. přenesená",$N$281,0)</f>
        <v>0</v>
      </c>
      <c r="BH281" s="77">
        <f>IF($U$281="sníž. přenesená",$N$281,0)</f>
        <v>0</v>
      </c>
      <c r="BI281" s="77">
        <f>IF($U$281="nulová",$N$281,0)</f>
        <v>0</v>
      </c>
      <c r="BJ281" s="6" t="s">
        <v>17</v>
      </c>
      <c r="BK281" s="77">
        <f>ROUND($L$281*$K$281,2)</f>
        <v>0</v>
      </c>
      <c r="BL281" s="6" t="s">
        <v>165</v>
      </c>
    </row>
    <row r="282" spans="2:64" s="6" customFormat="1" ht="27" customHeight="1">
      <c r="B282" s="21"/>
      <c r="C282" s="119" t="s">
        <v>438</v>
      </c>
      <c r="D282" s="119" t="s">
        <v>161</v>
      </c>
      <c r="E282" s="120" t="s">
        <v>439</v>
      </c>
      <c r="F282" s="194" t="s">
        <v>440</v>
      </c>
      <c r="G282" s="195"/>
      <c r="H282" s="195"/>
      <c r="I282" s="195"/>
      <c r="J282" s="121" t="s">
        <v>208</v>
      </c>
      <c r="K282" s="122">
        <v>580.05</v>
      </c>
      <c r="L282" s="196">
        <v>0</v>
      </c>
      <c r="M282" s="195"/>
      <c r="N282" s="197">
        <f>ROUND($L$282*$K$282,2)</f>
        <v>0</v>
      </c>
      <c r="O282" s="195"/>
      <c r="P282" s="195"/>
      <c r="Q282" s="195"/>
      <c r="R282" s="22"/>
      <c r="T282" s="123"/>
      <c r="U282" s="28" t="s">
        <v>41</v>
      </c>
      <c r="V282" s="124">
        <v>0.006</v>
      </c>
      <c r="W282" s="124">
        <f>$V$282*$K$282</f>
        <v>3.4802999999999997</v>
      </c>
      <c r="X282" s="124">
        <v>0</v>
      </c>
      <c r="Y282" s="124">
        <f>$X$282*$K$282</f>
        <v>0</v>
      </c>
      <c r="Z282" s="124">
        <v>0</v>
      </c>
      <c r="AA282" s="125">
        <f>$Z$282*$K$282</f>
        <v>0</v>
      </c>
      <c r="AR282" s="6" t="s">
        <v>165</v>
      </c>
      <c r="AT282" s="6" t="s">
        <v>161</v>
      </c>
      <c r="AU282" s="6" t="s">
        <v>170</v>
      </c>
      <c r="AY282" s="6" t="s">
        <v>160</v>
      </c>
      <c r="BE282" s="77">
        <f>IF($U$282="základní",$N$282,0)</f>
        <v>0</v>
      </c>
      <c r="BF282" s="77">
        <f>IF($U$282="snížená",$N$282,0)</f>
        <v>0</v>
      </c>
      <c r="BG282" s="77">
        <f>IF($U$282="zákl. přenesená",$N$282,0)</f>
        <v>0</v>
      </c>
      <c r="BH282" s="77">
        <f>IF($U$282="sníž. přenesená",$N$282,0)</f>
        <v>0</v>
      </c>
      <c r="BI282" s="77">
        <f>IF($U$282="nulová",$N$282,0)</f>
        <v>0</v>
      </c>
      <c r="BJ282" s="6" t="s">
        <v>17</v>
      </c>
      <c r="BK282" s="77">
        <f>ROUND($L$282*$K$282,2)</f>
        <v>0</v>
      </c>
      <c r="BL282" s="6" t="s">
        <v>165</v>
      </c>
    </row>
    <row r="283" spans="2:51" s="6" customFormat="1" ht="15.75" customHeight="1">
      <c r="B283" s="126"/>
      <c r="E283" s="127"/>
      <c r="F283" s="198" t="s">
        <v>441</v>
      </c>
      <c r="G283" s="199"/>
      <c r="H283" s="199"/>
      <c r="I283" s="199"/>
      <c r="K283" s="128">
        <v>580.05</v>
      </c>
      <c r="R283" s="129"/>
      <c r="T283" s="130"/>
      <c r="AA283" s="131"/>
      <c r="AT283" s="127" t="s">
        <v>167</v>
      </c>
      <c r="AU283" s="127" t="s">
        <v>170</v>
      </c>
      <c r="AV283" s="127" t="s">
        <v>102</v>
      </c>
      <c r="AW283" s="127" t="s">
        <v>109</v>
      </c>
      <c r="AX283" s="127" t="s">
        <v>17</v>
      </c>
      <c r="AY283" s="127" t="s">
        <v>160</v>
      </c>
    </row>
    <row r="284" spans="2:64" s="6" customFormat="1" ht="27" customHeight="1">
      <c r="B284" s="21"/>
      <c r="C284" s="119" t="s">
        <v>442</v>
      </c>
      <c r="D284" s="119" t="s">
        <v>161</v>
      </c>
      <c r="E284" s="120" t="s">
        <v>443</v>
      </c>
      <c r="F284" s="194" t="s">
        <v>444</v>
      </c>
      <c r="G284" s="195"/>
      <c r="H284" s="195"/>
      <c r="I284" s="195"/>
      <c r="J284" s="121" t="s">
        <v>208</v>
      </c>
      <c r="K284" s="122">
        <v>32.225</v>
      </c>
      <c r="L284" s="196">
        <v>0</v>
      </c>
      <c r="M284" s="195"/>
      <c r="N284" s="197">
        <f>ROUND($L$284*$K$284,2)</f>
        <v>0</v>
      </c>
      <c r="O284" s="195"/>
      <c r="P284" s="195"/>
      <c r="Q284" s="195"/>
      <c r="R284" s="22"/>
      <c r="T284" s="123"/>
      <c r="U284" s="28" t="s">
        <v>41</v>
      </c>
      <c r="V284" s="124">
        <v>0</v>
      </c>
      <c r="W284" s="124">
        <f>$V$284*$K$284</f>
        <v>0</v>
      </c>
      <c r="X284" s="124">
        <v>0</v>
      </c>
      <c r="Y284" s="124">
        <f>$X$284*$K$284</f>
        <v>0</v>
      </c>
      <c r="Z284" s="124">
        <v>0</v>
      </c>
      <c r="AA284" s="125">
        <f>$Z$284*$K$284</f>
        <v>0</v>
      </c>
      <c r="AR284" s="6" t="s">
        <v>165</v>
      </c>
      <c r="AT284" s="6" t="s">
        <v>161</v>
      </c>
      <c r="AU284" s="6" t="s">
        <v>170</v>
      </c>
      <c r="AY284" s="6" t="s">
        <v>160</v>
      </c>
      <c r="BE284" s="77">
        <f>IF($U$284="základní",$N$284,0)</f>
        <v>0</v>
      </c>
      <c r="BF284" s="77">
        <f>IF($U$284="snížená",$N$284,0)</f>
        <v>0</v>
      </c>
      <c r="BG284" s="77">
        <f>IF($U$284="zákl. přenesená",$N$284,0)</f>
        <v>0</v>
      </c>
      <c r="BH284" s="77">
        <f>IF($U$284="sníž. přenesená",$N$284,0)</f>
        <v>0</v>
      </c>
      <c r="BI284" s="77">
        <f>IF($U$284="nulová",$N$284,0)</f>
        <v>0</v>
      </c>
      <c r="BJ284" s="6" t="s">
        <v>17</v>
      </c>
      <c r="BK284" s="77">
        <f>ROUND($L$284*$K$284,2)</f>
        <v>0</v>
      </c>
      <c r="BL284" s="6" t="s">
        <v>165</v>
      </c>
    </row>
    <row r="285" spans="2:64" s="6" customFormat="1" ht="15.75" customHeight="1">
      <c r="B285" s="21"/>
      <c r="C285" s="119" t="s">
        <v>445</v>
      </c>
      <c r="D285" s="119" t="s">
        <v>161</v>
      </c>
      <c r="E285" s="120" t="s">
        <v>446</v>
      </c>
      <c r="F285" s="194" t="s">
        <v>447</v>
      </c>
      <c r="G285" s="195"/>
      <c r="H285" s="195"/>
      <c r="I285" s="195"/>
      <c r="J285" s="121" t="s">
        <v>208</v>
      </c>
      <c r="K285" s="122">
        <v>78.584</v>
      </c>
      <c r="L285" s="196">
        <v>0</v>
      </c>
      <c r="M285" s="195"/>
      <c r="N285" s="197">
        <f>ROUND($L$285*$K$285,2)</f>
        <v>0</v>
      </c>
      <c r="O285" s="195"/>
      <c r="P285" s="195"/>
      <c r="Q285" s="195"/>
      <c r="R285" s="22"/>
      <c r="T285" s="123"/>
      <c r="U285" s="28" t="s">
        <v>41</v>
      </c>
      <c r="V285" s="124">
        <v>0.831</v>
      </c>
      <c r="W285" s="124">
        <f>$V$285*$K$285</f>
        <v>65.303304</v>
      </c>
      <c r="X285" s="124">
        <v>0</v>
      </c>
      <c r="Y285" s="124">
        <f>$X$285*$K$285</f>
        <v>0</v>
      </c>
      <c r="Z285" s="124">
        <v>0</v>
      </c>
      <c r="AA285" s="125">
        <f>$Z$285*$K$285</f>
        <v>0</v>
      </c>
      <c r="AR285" s="6" t="s">
        <v>165</v>
      </c>
      <c r="AT285" s="6" t="s">
        <v>161</v>
      </c>
      <c r="AU285" s="6" t="s">
        <v>170</v>
      </c>
      <c r="AY285" s="6" t="s">
        <v>160</v>
      </c>
      <c r="BE285" s="77">
        <f>IF($U$285="základní",$N$285,0)</f>
        <v>0</v>
      </c>
      <c r="BF285" s="77">
        <f>IF($U$285="snížená",$N$285,0)</f>
        <v>0</v>
      </c>
      <c r="BG285" s="77">
        <f>IF($U$285="zákl. přenesená",$N$285,0)</f>
        <v>0</v>
      </c>
      <c r="BH285" s="77">
        <f>IF($U$285="sníž. přenesená",$N$285,0)</f>
        <v>0</v>
      </c>
      <c r="BI285" s="77">
        <f>IF($U$285="nulová",$N$285,0)</f>
        <v>0</v>
      </c>
      <c r="BJ285" s="6" t="s">
        <v>17</v>
      </c>
      <c r="BK285" s="77">
        <f>ROUND($L$285*$K$285,2)</f>
        <v>0</v>
      </c>
      <c r="BL285" s="6" t="s">
        <v>165</v>
      </c>
    </row>
    <row r="286" spans="2:63" s="109" customFormat="1" ht="37.5" customHeight="1">
      <c r="B286" s="110"/>
      <c r="D286" s="111" t="s">
        <v>119</v>
      </c>
      <c r="N286" s="190">
        <f>$BK$286</f>
        <v>0</v>
      </c>
      <c r="O286" s="209"/>
      <c r="P286" s="209"/>
      <c r="Q286" s="209"/>
      <c r="R286" s="113"/>
      <c r="T286" s="114"/>
      <c r="W286" s="115">
        <f>$W$287+$W$298+$W$303+$W$320+$W$323+$W$326+$W$328+$W$338+$W$343+$W$353+$W$357+$W$374+$W$381+$W$403+$W$407</f>
        <v>183.73761100000002</v>
      </c>
      <c r="Y286" s="115">
        <f>$Y$287+$Y$298+$Y$303+$Y$320+$Y$323+$Y$326+$Y$328+$Y$338+$Y$343+$Y$353+$Y$357+$Y$374+$Y$381+$Y$403+$Y$407</f>
        <v>4.653556620000001</v>
      </c>
      <c r="AA286" s="116">
        <f>$AA$287+$AA$298+$AA$303+$AA$320+$AA$323+$AA$326+$AA$328+$AA$338+$AA$343+$AA$353+$AA$357+$AA$374+$AA$381+$AA$403+$AA$407</f>
        <v>0.032</v>
      </c>
      <c r="AR286" s="112" t="s">
        <v>102</v>
      </c>
      <c r="AT286" s="112" t="s">
        <v>75</v>
      </c>
      <c r="AU286" s="112" t="s">
        <v>76</v>
      </c>
      <c r="AY286" s="112" t="s">
        <v>160</v>
      </c>
      <c r="BK286" s="117">
        <f>$BK$287+$BK$298+$BK$303+$BK$320+$BK$323+$BK$326+$BK$328+$BK$338+$BK$343+$BK$353+$BK$357+$BK$374+$BK$381+$BK$403+$BK$407</f>
        <v>0</v>
      </c>
    </row>
    <row r="287" spans="2:63" s="109" customFormat="1" ht="21" customHeight="1">
      <c r="B287" s="110"/>
      <c r="D287" s="118" t="s">
        <v>120</v>
      </c>
      <c r="N287" s="210">
        <f>$BK$287</f>
        <v>0</v>
      </c>
      <c r="O287" s="209"/>
      <c r="P287" s="209"/>
      <c r="Q287" s="209"/>
      <c r="R287" s="113"/>
      <c r="T287" s="114"/>
      <c r="W287" s="115">
        <f>SUM($W$288:$W$297)</f>
        <v>8.232364</v>
      </c>
      <c r="Y287" s="115">
        <f>SUM($Y$288:$Y$297)</f>
        <v>0.16422532</v>
      </c>
      <c r="AA287" s="116">
        <f>SUM($AA$288:$AA$297)</f>
        <v>0</v>
      </c>
      <c r="AR287" s="112" t="s">
        <v>102</v>
      </c>
      <c r="AT287" s="112" t="s">
        <v>75</v>
      </c>
      <c r="AU287" s="112" t="s">
        <v>17</v>
      </c>
      <c r="AY287" s="112" t="s">
        <v>160</v>
      </c>
      <c r="BK287" s="117">
        <f>SUM($BK$288:$BK$297)</f>
        <v>0</v>
      </c>
    </row>
    <row r="288" spans="2:64" s="6" customFormat="1" ht="27" customHeight="1">
      <c r="B288" s="21"/>
      <c r="C288" s="119" t="s">
        <v>448</v>
      </c>
      <c r="D288" s="119" t="s">
        <v>161</v>
      </c>
      <c r="E288" s="120" t="s">
        <v>449</v>
      </c>
      <c r="F288" s="194" t="s">
        <v>450</v>
      </c>
      <c r="G288" s="195"/>
      <c r="H288" s="195"/>
      <c r="I288" s="195"/>
      <c r="J288" s="121" t="s">
        <v>164</v>
      </c>
      <c r="K288" s="122">
        <v>24.05</v>
      </c>
      <c r="L288" s="196">
        <v>0</v>
      </c>
      <c r="M288" s="195"/>
      <c r="N288" s="197">
        <f>ROUND($L$288*$K$288,2)</f>
        <v>0</v>
      </c>
      <c r="O288" s="195"/>
      <c r="P288" s="195"/>
      <c r="Q288" s="195"/>
      <c r="R288" s="22"/>
      <c r="T288" s="123"/>
      <c r="U288" s="28" t="s">
        <v>41</v>
      </c>
      <c r="V288" s="124">
        <v>0.024</v>
      </c>
      <c r="W288" s="124">
        <f>$V$288*$K$288</f>
        <v>0.5772</v>
      </c>
      <c r="X288" s="124">
        <v>0</v>
      </c>
      <c r="Y288" s="124">
        <f>$X$288*$K$288</f>
        <v>0</v>
      </c>
      <c r="Z288" s="124">
        <v>0</v>
      </c>
      <c r="AA288" s="125">
        <f>$Z$288*$K$288</f>
        <v>0</v>
      </c>
      <c r="AR288" s="6" t="s">
        <v>221</v>
      </c>
      <c r="AT288" s="6" t="s">
        <v>161</v>
      </c>
      <c r="AU288" s="6" t="s">
        <v>102</v>
      </c>
      <c r="AY288" s="6" t="s">
        <v>160</v>
      </c>
      <c r="BE288" s="77">
        <f>IF($U$288="základní",$N$288,0)</f>
        <v>0</v>
      </c>
      <c r="BF288" s="77">
        <f>IF($U$288="snížená",$N$288,0)</f>
        <v>0</v>
      </c>
      <c r="BG288" s="77">
        <f>IF($U$288="zákl. přenesená",$N$288,0)</f>
        <v>0</v>
      </c>
      <c r="BH288" s="77">
        <f>IF($U$288="sníž. přenesená",$N$288,0)</f>
        <v>0</v>
      </c>
      <c r="BI288" s="77">
        <f>IF($U$288="nulová",$N$288,0)</f>
        <v>0</v>
      </c>
      <c r="BJ288" s="6" t="s">
        <v>17</v>
      </c>
      <c r="BK288" s="77">
        <f>ROUND($L$288*$K$288,2)</f>
        <v>0</v>
      </c>
      <c r="BL288" s="6" t="s">
        <v>221</v>
      </c>
    </row>
    <row r="289" spans="2:51" s="6" customFormat="1" ht="15.75" customHeight="1">
      <c r="B289" s="126"/>
      <c r="E289" s="127"/>
      <c r="F289" s="198" t="s">
        <v>451</v>
      </c>
      <c r="G289" s="199"/>
      <c r="H289" s="199"/>
      <c r="I289" s="199"/>
      <c r="K289" s="128">
        <v>24.05</v>
      </c>
      <c r="R289" s="129"/>
      <c r="T289" s="130"/>
      <c r="AA289" s="131"/>
      <c r="AT289" s="127" t="s">
        <v>167</v>
      </c>
      <c r="AU289" s="127" t="s">
        <v>102</v>
      </c>
      <c r="AV289" s="127" t="s">
        <v>102</v>
      </c>
      <c r="AW289" s="127" t="s">
        <v>109</v>
      </c>
      <c r="AX289" s="127" t="s">
        <v>17</v>
      </c>
      <c r="AY289" s="127" t="s">
        <v>160</v>
      </c>
    </row>
    <row r="290" spans="2:64" s="6" customFormat="1" ht="15.75" customHeight="1">
      <c r="B290" s="21"/>
      <c r="C290" s="138" t="s">
        <v>452</v>
      </c>
      <c r="D290" s="138" t="s">
        <v>276</v>
      </c>
      <c r="E290" s="139" t="s">
        <v>453</v>
      </c>
      <c r="F290" s="202" t="s">
        <v>454</v>
      </c>
      <c r="G290" s="203"/>
      <c r="H290" s="203"/>
      <c r="I290" s="203"/>
      <c r="J290" s="140" t="s">
        <v>208</v>
      </c>
      <c r="K290" s="141">
        <v>0.007</v>
      </c>
      <c r="L290" s="204">
        <v>0</v>
      </c>
      <c r="M290" s="203"/>
      <c r="N290" s="205">
        <f>ROUND($L$290*$K$290,2)</f>
        <v>0</v>
      </c>
      <c r="O290" s="195"/>
      <c r="P290" s="195"/>
      <c r="Q290" s="195"/>
      <c r="R290" s="22"/>
      <c r="T290" s="123"/>
      <c r="U290" s="28" t="s">
        <v>41</v>
      </c>
      <c r="V290" s="124">
        <v>0</v>
      </c>
      <c r="W290" s="124">
        <f>$V$290*$K$290</f>
        <v>0</v>
      </c>
      <c r="X290" s="124">
        <v>1</v>
      </c>
      <c r="Y290" s="124">
        <f>$X$290*$K$290</f>
        <v>0.007</v>
      </c>
      <c r="Z290" s="124">
        <v>0</v>
      </c>
      <c r="AA290" s="125">
        <f>$Z$290*$K$290</f>
        <v>0</v>
      </c>
      <c r="AR290" s="6" t="s">
        <v>283</v>
      </c>
      <c r="AT290" s="6" t="s">
        <v>276</v>
      </c>
      <c r="AU290" s="6" t="s">
        <v>102</v>
      </c>
      <c r="AY290" s="6" t="s">
        <v>160</v>
      </c>
      <c r="BE290" s="77">
        <f>IF($U$290="základní",$N$290,0)</f>
        <v>0</v>
      </c>
      <c r="BF290" s="77">
        <f>IF($U$290="snížená",$N$290,0)</f>
        <v>0</v>
      </c>
      <c r="BG290" s="77">
        <f>IF($U$290="zákl. přenesená",$N$290,0)</f>
        <v>0</v>
      </c>
      <c r="BH290" s="77">
        <f>IF($U$290="sníž. přenesená",$N$290,0)</f>
        <v>0</v>
      </c>
      <c r="BI290" s="77">
        <f>IF($U$290="nulová",$N$290,0)</f>
        <v>0</v>
      </c>
      <c r="BJ290" s="6" t="s">
        <v>17</v>
      </c>
      <c r="BK290" s="77">
        <f>ROUND($L$290*$K$290,2)</f>
        <v>0</v>
      </c>
      <c r="BL290" s="6" t="s">
        <v>221</v>
      </c>
    </row>
    <row r="291" spans="2:64" s="6" customFormat="1" ht="27" customHeight="1">
      <c r="B291" s="21"/>
      <c r="C291" s="119" t="s">
        <v>455</v>
      </c>
      <c r="D291" s="119" t="s">
        <v>161</v>
      </c>
      <c r="E291" s="120" t="s">
        <v>456</v>
      </c>
      <c r="F291" s="194" t="s">
        <v>457</v>
      </c>
      <c r="G291" s="195"/>
      <c r="H291" s="195"/>
      <c r="I291" s="195"/>
      <c r="J291" s="121" t="s">
        <v>164</v>
      </c>
      <c r="K291" s="122">
        <v>7.376</v>
      </c>
      <c r="L291" s="196">
        <v>0</v>
      </c>
      <c r="M291" s="195"/>
      <c r="N291" s="197">
        <f>ROUND($L$291*$K$291,2)</f>
        <v>0</v>
      </c>
      <c r="O291" s="195"/>
      <c r="P291" s="195"/>
      <c r="Q291" s="195"/>
      <c r="R291" s="22"/>
      <c r="T291" s="123"/>
      <c r="U291" s="28" t="s">
        <v>41</v>
      </c>
      <c r="V291" s="124">
        <v>0.054</v>
      </c>
      <c r="W291" s="124">
        <f>$V$291*$K$291</f>
        <v>0.398304</v>
      </c>
      <c r="X291" s="124">
        <v>0</v>
      </c>
      <c r="Y291" s="124">
        <f>$X$291*$K$291</f>
        <v>0</v>
      </c>
      <c r="Z291" s="124">
        <v>0</v>
      </c>
      <c r="AA291" s="125">
        <f>$Z$291*$K$291</f>
        <v>0</v>
      </c>
      <c r="AR291" s="6" t="s">
        <v>221</v>
      </c>
      <c r="AT291" s="6" t="s">
        <v>161</v>
      </c>
      <c r="AU291" s="6" t="s">
        <v>102</v>
      </c>
      <c r="AY291" s="6" t="s">
        <v>160</v>
      </c>
      <c r="BE291" s="77">
        <f>IF($U$291="základní",$N$291,0)</f>
        <v>0</v>
      </c>
      <c r="BF291" s="77">
        <f>IF($U$291="snížená",$N$291,0)</f>
        <v>0</v>
      </c>
      <c r="BG291" s="77">
        <f>IF($U$291="zákl. přenesená",$N$291,0)</f>
        <v>0</v>
      </c>
      <c r="BH291" s="77">
        <f>IF($U$291="sníž. přenesená",$N$291,0)</f>
        <v>0</v>
      </c>
      <c r="BI291" s="77">
        <f>IF($U$291="nulová",$N$291,0)</f>
        <v>0</v>
      </c>
      <c r="BJ291" s="6" t="s">
        <v>17</v>
      </c>
      <c r="BK291" s="77">
        <f>ROUND($L$291*$K$291,2)</f>
        <v>0</v>
      </c>
      <c r="BL291" s="6" t="s">
        <v>221</v>
      </c>
    </row>
    <row r="292" spans="2:64" s="6" customFormat="1" ht="15.75" customHeight="1">
      <c r="B292" s="21"/>
      <c r="C292" s="138" t="s">
        <v>458</v>
      </c>
      <c r="D292" s="138" t="s">
        <v>276</v>
      </c>
      <c r="E292" s="139" t="s">
        <v>453</v>
      </c>
      <c r="F292" s="202" t="s">
        <v>454</v>
      </c>
      <c r="G292" s="203"/>
      <c r="H292" s="203"/>
      <c r="I292" s="203"/>
      <c r="J292" s="140" t="s">
        <v>208</v>
      </c>
      <c r="K292" s="141">
        <v>0.003</v>
      </c>
      <c r="L292" s="204">
        <v>0</v>
      </c>
      <c r="M292" s="203"/>
      <c r="N292" s="205">
        <f>ROUND($L$292*$K$292,2)</f>
        <v>0</v>
      </c>
      <c r="O292" s="195"/>
      <c r="P292" s="195"/>
      <c r="Q292" s="195"/>
      <c r="R292" s="22"/>
      <c r="T292" s="123"/>
      <c r="U292" s="28" t="s">
        <v>41</v>
      </c>
      <c r="V292" s="124">
        <v>0</v>
      </c>
      <c r="W292" s="124">
        <f>$V$292*$K$292</f>
        <v>0</v>
      </c>
      <c r="X292" s="124">
        <v>1</v>
      </c>
      <c r="Y292" s="124">
        <f>$X$292*$K$292</f>
        <v>0.003</v>
      </c>
      <c r="Z292" s="124">
        <v>0</v>
      </c>
      <c r="AA292" s="125">
        <f>$Z$292*$K$292</f>
        <v>0</v>
      </c>
      <c r="AR292" s="6" t="s">
        <v>283</v>
      </c>
      <c r="AT292" s="6" t="s">
        <v>276</v>
      </c>
      <c r="AU292" s="6" t="s">
        <v>102</v>
      </c>
      <c r="AY292" s="6" t="s">
        <v>160</v>
      </c>
      <c r="BE292" s="77">
        <f>IF($U$292="základní",$N$292,0)</f>
        <v>0</v>
      </c>
      <c r="BF292" s="77">
        <f>IF($U$292="snížená",$N$292,0)</f>
        <v>0</v>
      </c>
      <c r="BG292" s="77">
        <f>IF($U$292="zákl. přenesená",$N$292,0)</f>
        <v>0</v>
      </c>
      <c r="BH292" s="77">
        <f>IF($U$292="sníž. přenesená",$N$292,0)</f>
        <v>0</v>
      </c>
      <c r="BI292" s="77">
        <f>IF($U$292="nulová",$N$292,0)</f>
        <v>0</v>
      </c>
      <c r="BJ292" s="6" t="s">
        <v>17</v>
      </c>
      <c r="BK292" s="77">
        <f>ROUND($L$292*$K$292,2)</f>
        <v>0</v>
      </c>
      <c r="BL292" s="6" t="s">
        <v>221</v>
      </c>
    </row>
    <row r="293" spans="2:64" s="6" customFormat="1" ht="27" customHeight="1">
      <c r="B293" s="21"/>
      <c r="C293" s="119" t="s">
        <v>459</v>
      </c>
      <c r="D293" s="119" t="s">
        <v>161</v>
      </c>
      <c r="E293" s="120" t="s">
        <v>460</v>
      </c>
      <c r="F293" s="194" t="s">
        <v>461</v>
      </c>
      <c r="G293" s="195"/>
      <c r="H293" s="195"/>
      <c r="I293" s="195"/>
      <c r="J293" s="121" t="s">
        <v>164</v>
      </c>
      <c r="K293" s="122">
        <v>24.05</v>
      </c>
      <c r="L293" s="196">
        <v>0</v>
      </c>
      <c r="M293" s="195"/>
      <c r="N293" s="197">
        <f>ROUND($L$293*$K$293,2)</f>
        <v>0</v>
      </c>
      <c r="O293" s="195"/>
      <c r="P293" s="195"/>
      <c r="Q293" s="195"/>
      <c r="R293" s="22"/>
      <c r="T293" s="123"/>
      <c r="U293" s="28" t="s">
        <v>41</v>
      </c>
      <c r="V293" s="124">
        <v>0.222</v>
      </c>
      <c r="W293" s="124">
        <f>$V$293*$K$293</f>
        <v>5.3391</v>
      </c>
      <c r="X293" s="124">
        <v>0.0004</v>
      </c>
      <c r="Y293" s="124">
        <f>$X$293*$K$293</f>
        <v>0.00962</v>
      </c>
      <c r="Z293" s="124">
        <v>0</v>
      </c>
      <c r="AA293" s="125">
        <f>$Z$293*$K$293</f>
        <v>0</v>
      </c>
      <c r="AR293" s="6" t="s">
        <v>221</v>
      </c>
      <c r="AT293" s="6" t="s">
        <v>161</v>
      </c>
      <c r="AU293" s="6" t="s">
        <v>102</v>
      </c>
      <c r="AY293" s="6" t="s">
        <v>160</v>
      </c>
      <c r="BE293" s="77">
        <f>IF($U$293="základní",$N$293,0)</f>
        <v>0</v>
      </c>
      <c r="BF293" s="77">
        <f>IF($U$293="snížená",$N$293,0)</f>
        <v>0</v>
      </c>
      <c r="BG293" s="77">
        <f>IF($U$293="zákl. přenesená",$N$293,0)</f>
        <v>0</v>
      </c>
      <c r="BH293" s="77">
        <f>IF($U$293="sníž. přenesená",$N$293,0)</f>
        <v>0</v>
      </c>
      <c r="BI293" s="77">
        <f>IF($U$293="nulová",$N$293,0)</f>
        <v>0</v>
      </c>
      <c r="BJ293" s="6" t="s">
        <v>17</v>
      </c>
      <c r="BK293" s="77">
        <f>ROUND($L$293*$K$293,2)</f>
        <v>0</v>
      </c>
      <c r="BL293" s="6" t="s">
        <v>221</v>
      </c>
    </row>
    <row r="294" spans="2:64" s="6" customFormat="1" ht="27" customHeight="1">
      <c r="B294" s="21"/>
      <c r="C294" s="138" t="s">
        <v>462</v>
      </c>
      <c r="D294" s="138" t="s">
        <v>276</v>
      </c>
      <c r="E294" s="139" t="s">
        <v>463</v>
      </c>
      <c r="F294" s="202" t="s">
        <v>464</v>
      </c>
      <c r="G294" s="203"/>
      <c r="H294" s="203"/>
      <c r="I294" s="203"/>
      <c r="J294" s="140" t="s">
        <v>164</v>
      </c>
      <c r="K294" s="141">
        <v>27.658</v>
      </c>
      <c r="L294" s="204">
        <v>0</v>
      </c>
      <c r="M294" s="203"/>
      <c r="N294" s="205">
        <f>ROUND($L$294*$K$294,2)</f>
        <v>0</v>
      </c>
      <c r="O294" s="195"/>
      <c r="P294" s="195"/>
      <c r="Q294" s="195"/>
      <c r="R294" s="22"/>
      <c r="T294" s="123"/>
      <c r="U294" s="28" t="s">
        <v>41</v>
      </c>
      <c r="V294" s="124">
        <v>0</v>
      </c>
      <c r="W294" s="124">
        <f>$V$294*$K$294</f>
        <v>0</v>
      </c>
      <c r="X294" s="124">
        <v>0.00388</v>
      </c>
      <c r="Y294" s="124">
        <f>$X$294*$K$294</f>
        <v>0.10731304000000001</v>
      </c>
      <c r="Z294" s="124">
        <v>0</v>
      </c>
      <c r="AA294" s="125">
        <f>$Z$294*$K$294</f>
        <v>0</v>
      </c>
      <c r="AR294" s="6" t="s">
        <v>283</v>
      </c>
      <c r="AT294" s="6" t="s">
        <v>276</v>
      </c>
      <c r="AU294" s="6" t="s">
        <v>102</v>
      </c>
      <c r="AY294" s="6" t="s">
        <v>160</v>
      </c>
      <c r="BE294" s="77">
        <f>IF($U$294="základní",$N$294,0)</f>
        <v>0</v>
      </c>
      <c r="BF294" s="77">
        <f>IF($U$294="snížená",$N$294,0)</f>
        <v>0</v>
      </c>
      <c r="BG294" s="77">
        <f>IF($U$294="zákl. přenesená",$N$294,0)</f>
        <v>0</v>
      </c>
      <c r="BH294" s="77">
        <f>IF($U$294="sníž. přenesená",$N$294,0)</f>
        <v>0</v>
      </c>
      <c r="BI294" s="77">
        <f>IF($U$294="nulová",$N$294,0)</f>
        <v>0</v>
      </c>
      <c r="BJ294" s="6" t="s">
        <v>17</v>
      </c>
      <c r="BK294" s="77">
        <f>ROUND($L$294*$K$294,2)</f>
        <v>0</v>
      </c>
      <c r="BL294" s="6" t="s">
        <v>221</v>
      </c>
    </row>
    <row r="295" spans="2:64" s="6" customFormat="1" ht="27" customHeight="1">
      <c r="B295" s="21"/>
      <c r="C295" s="119" t="s">
        <v>465</v>
      </c>
      <c r="D295" s="119" t="s">
        <v>161</v>
      </c>
      <c r="E295" s="120" t="s">
        <v>466</v>
      </c>
      <c r="F295" s="194" t="s">
        <v>467</v>
      </c>
      <c r="G295" s="195"/>
      <c r="H295" s="195"/>
      <c r="I295" s="195"/>
      <c r="J295" s="121" t="s">
        <v>164</v>
      </c>
      <c r="K295" s="122">
        <v>7.376</v>
      </c>
      <c r="L295" s="196">
        <v>0</v>
      </c>
      <c r="M295" s="195"/>
      <c r="N295" s="197">
        <f>ROUND($L$295*$K$295,2)</f>
        <v>0</v>
      </c>
      <c r="O295" s="195"/>
      <c r="P295" s="195"/>
      <c r="Q295" s="195"/>
      <c r="R295" s="22"/>
      <c r="T295" s="123"/>
      <c r="U295" s="28" t="s">
        <v>41</v>
      </c>
      <c r="V295" s="124">
        <v>0.26</v>
      </c>
      <c r="W295" s="124">
        <f>$V$295*$K$295</f>
        <v>1.9177600000000001</v>
      </c>
      <c r="X295" s="124">
        <v>0.0004</v>
      </c>
      <c r="Y295" s="124">
        <f>$X$295*$K$295</f>
        <v>0.0029504</v>
      </c>
      <c r="Z295" s="124">
        <v>0</v>
      </c>
      <c r="AA295" s="125">
        <f>$Z$295*$K$295</f>
        <v>0</v>
      </c>
      <c r="AR295" s="6" t="s">
        <v>221</v>
      </c>
      <c r="AT295" s="6" t="s">
        <v>161</v>
      </c>
      <c r="AU295" s="6" t="s">
        <v>102</v>
      </c>
      <c r="AY295" s="6" t="s">
        <v>160</v>
      </c>
      <c r="BE295" s="77">
        <f>IF($U$295="základní",$N$295,0)</f>
        <v>0</v>
      </c>
      <c r="BF295" s="77">
        <f>IF($U$295="snížená",$N$295,0)</f>
        <v>0</v>
      </c>
      <c r="BG295" s="77">
        <f>IF($U$295="zákl. přenesená",$N$295,0)</f>
        <v>0</v>
      </c>
      <c r="BH295" s="77">
        <f>IF($U$295="sníž. přenesená",$N$295,0)</f>
        <v>0</v>
      </c>
      <c r="BI295" s="77">
        <f>IF($U$295="nulová",$N$295,0)</f>
        <v>0</v>
      </c>
      <c r="BJ295" s="6" t="s">
        <v>17</v>
      </c>
      <c r="BK295" s="77">
        <f>ROUND($L$295*$K$295,2)</f>
        <v>0</v>
      </c>
      <c r="BL295" s="6" t="s">
        <v>221</v>
      </c>
    </row>
    <row r="296" spans="2:64" s="6" customFormat="1" ht="27" customHeight="1">
      <c r="B296" s="21"/>
      <c r="C296" s="138" t="s">
        <v>468</v>
      </c>
      <c r="D296" s="138" t="s">
        <v>276</v>
      </c>
      <c r="E296" s="139" t="s">
        <v>463</v>
      </c>
      <c r="F296" s="202" t="s">
        <v>464</v>
      </c>
      <c r="G296" s="203"/>
      <c r="H296" s="203"/>
      <c r="I296" s="203"/>
      <c r="J296" s="140" t="s">
        <v>164</v>
      </c>
      <c r="K296" s="141">
        <v>8.851</v>
      </c>
      <c r="L296" s="204">
        <v>0</v>
      </c>
      <c r="M296" s="203"/>
      <c r="N296" s="205">
        <f>ROUND($L$296*$K$296,2)</f>
        <v>0</v>
      </c>
      <c r="O296" s="195"/>
      <c r="P296" s="195"/>
      <c r="Q296" s="195"/>
      <c r="R296" s="22"/>
      <c r="T296" s="123"/>
      <c r="U296" s="28" t="s">
        <v>41</v>
      </c>
      <c r="V296" s="124">
        <v>0</v>
      </c>
      <c r="W296" s="124">
        <f>$V$296*$K$296</f>
        <v>0</v>
      </c>
      <c r="X296" s="124">
        <v>0.00388</v>
      </c>
      <c r="Y296" s="124">
        <f>$X$296*$K$296</f>
        <v>0.034341880000000005</v>
      </c>
      <c r="Z296" s="124">
        <v>0</v>
      </c>
      <c r="AA296" s="125">
        <f>$Z$296*$K$296</f>
        <v>0</v>
      </c>
      <c r="AR296" s="6" t="s">
        <v>283</v>
      </c>
      <c r="AT296" s="6" t="s">
        <v>276</v>
      </c>
      <c r="AU296" s="6" t="s">
        <v>102</v>
      </c>
      <c r="AY296" s="6" t="s">
        <v>160</v>
      </c>
      <c r="BE296" s="77">
        <f>IF($U$296="základní",$N$296,0)</f>
        <v>0</v>
      </c>
      <c r="BF296" s="77">
        <f>IF($U$296="snížená",$N$296,0)</f>
        <v>0</v>
      </c>
      <c r="BG296" s="77">
        <f>IF($U$296="zákl. přenesená",$N$296,0)</f>
        <v>0</v>
      </c>
      <c r="BH296" s="77">
        <f>IF($U$296="sníž. přenesená",$N$296,0)</f>
        <v>0</v>
      </c>
      <c r="BI296" s="77">
        <f>IF($U$296="nulová",$N$296,0)</f>
        <v>0</v>
      </c>
      <c r="BJ296" s="6" t="s">
        <v>17</v>
      </c>
      <c r="BK296" s="77">
        <f>ROUND($L$296*$K$296,2)</f>
        <v>0</v>
      </c>
      <c r="BL296" s="6" t="s">
        <v>221</v>
      </c>
    </row>
    <row r="297" spans="2:64" s="6" customFormat="1" ht="27" customHeight="1">
      <c r="B297" s="21"/>
      <c r="C297" s="119" t="s">
        <v>469</v>
      </c>
      <c r="D297" s="119" t="s">
        <v>161</v>
      </c>
      <c r="E297" s="120" t="s">
        <v>470</v>
      </c>
      <c r="F297" s="194" t="s">
        <v>471</v>
      </c>
      <c r="G297" s="195"/>
      <c r="H297" s="195"/>
      <c r="I297" s="195"/>
      <c r="J297" s="121" t="s">
        <v>472</v>
      </c>
      <c r="K297" s="142">
        <v>0</v>
      </c>
      <c r="L297" s="196">
        <v>0</v>
      </c>
      <c r="M297" s="195"/>
      <c r="N297" s="197">
        <f>ROUND($L$297*$K$297,2)</f>
        <v>0</v>
      </c>
      <c r="O297" s="195"/>
      <c r="P297" s="195"/>
      <c r="Q297" s="195"/>
      <c r="R297" s="22"/>
      <c r="T297" s="123"/>
      <c r="U297" s="28" t="s">
        <v>41</v>
      </c>
      <c r="V297" s="124">
        <v>0</v>
      </c>
      <c r="W297" s="124">
        <f>$V$297*$K$297</f>
        <v>0</v>
      </c>
      <c r="X297" s="124">
        <v>0</v>
      </c>
      <c r="Y297" s="124">
        <f>$X$297*$K$297</f>
        <v>0</v>
      </c>
      <c r="Z297" s="124">
        <v>0</v>
      </c>
      <c r="AA297" s="125">
        <f>$Z$297*$K$297</f>
        <v>0</v>
      </c>
      <c r="AR297" s="6" t="s">
        <v>221</v>
      </c>
      <c r="AT297" s="6" t="s">
        <v>161</v>
      </c>
      <c r="AU297" s="6" t="s">
        <v>102</v>
      </c>
      <c r="AY297" s="6" t="s">
        <v>160</v>
      </c>
      <c r="BE297" s="77">
        <f>IF($U$297="základní",$N$297,0)</f>
        <v>0</v>
      </c>
      <c r="BF297" s="77">
        <f>IF($U$297="snížená",$N$297,0)</f>
        <v>0</v>
      </c>
      <c r="BG297" s="77">
        <f>IF($U$297="zákl. přenesená",$N$297,0)</f>
        <v>0</v>
      </c>
      <c r="BH297" s="77">
        <f>IF($U$297="sníž. přenesená",$N$297,0)</f>
        <v>0</v>
      </c>
      <c r="BI297" s="77">
        <f>IF($U$297="nulová",$N$297,0)</f>
        <v>0</v>
      </c>
      <c r="BJ297" s="6" t="s">
        <v>17</v>
      </c>
      <c r="BK297" s="77">
        <f>ROUND($L$297*$K$297,2)</f>
        <v>0</v>
      </c>
      <c r="BL297" s="6" t="s">
        <v>221</v>
      </c>
    </row>
    <row r="298" spans="2:63" s="109" customFormat="1" ht="30.75" customHeight="1">
      <c r="B298" s="110"/>
      <c r="D298" s="118" t="s">
        <v>121</v>
      </c>
      <c r="N298" s="210">
        <f>$BK$298</f>
        <v>0</v>
      </c>
      <c r="O298" s="209"/>
      <c r="P298" s="209"/>
      <c r="Q298" s="209"/>
      <c r="R298" s="113"/>
      <c r="T298" s="114"/>
      <c r="W298" s="115">
        <f>SUM($W$299:$W$302)</f>
        <v>3.6938</v>
      </c>
      <c r="Y298" s="115">
        <f>SUM($Y$299:$Y$302)</f>
        <v>0.0012357</v>
      </c>
      <c r="AA298" s="116">
        <f>SUM($AA$299:$AA$302)</f>
        <v>0</v>
      </c>
      <c r="AR298" s="112" t="s">
        <v>102</v>
      </c>
      <c r="AT298" s="112" t="s">
        <v>75</v>
      </c>
      <c r="AU298" s="112" t="s">
        <v>17</v>
      </c>
      <c r="AY298" s="112" t="s">
        <v>160</v>
      </c>
      <c r="BK298" s="117">
        <f>SUM($BK$299:$BK$302)</f>
        <v>0</v>
      </c>
    </row>
    <row r="299" spans="2:64" s="6" customFormat="1" ht="27" customHeight="1">
      <c r="B299" s="21"/>
      <c r="C299" s="119" t="s">
        <v>473</v>
      </c>
      <c r="D299" s="119" t="s">
        <v>161</v>
      </c>
      <c r="E299" s="120" t="s">
        <v>474</v>
      </c>
      <c r="F299" s="194" t="s">
        <v>475</v>
      </c>
      <c r="G299" s="195"/>
      <c r="H299" s="195"/>
      <c r="I299" s="195"/>
      <c r="J299" s="121" t="s">
        <v>164</v>
      </c>
      <c r="K299" s="122">
        <v>33.58</v>
      </c>
      <c r="L299" s="196">
        <v>0</v>
      </c>
      <c r="M299" s="195"/>
      <c r="N299" s="197">
        <f>ROUND($L$299*$K$299,2)</f>
        <v>0</v>
      </c>
      <c r="O299" s="195"/>
      <c r="P299" s="195"/>
      <c r="Q299" s="195"/>
      <c r="R299" s="22"/>
      <c r="T299" s="123"/>
      <c r="U299" s="28" t="s">
        <v>41</v>
      </c>
      <c r="V299" s="124">
        <v>0.11</v>
      </c>
      <c r="W299" s="124">
        <f>$V$299*$K$299</f>
        <v>3.6938</v>
      </c>
      <c r="X299" s="124">
        <v>0</v>
      </c>
      <c r="Y299" s="124">
        <f>$X$299*$K$299</f>
        <v>0</v>
      </c>
      <c r="Z299" s="124">
        <v>0</v>
      </c>
      <c r="AA299" s="125">
        <f>$Z$299*$K$299</f>
        <v>0</v>
      </c>
      <c r="AR299" s="6" t="s">
        <v>221</v>
      </c>
      <c r="AT299" s="6" t="s">
        <v>161</v>
      </c>
      <c r="AU299" s="6" t="s">
        <v>102</v>
      </c>
      <c r="AY299" s="6" t="s">
        <v>160</v>
      </c>
      <c r="BE299" s="77">
        <f>IF($U$299="základní",$N$299,0)</f>
        <v>0</v>
      </c>
      <c r="BF299" s="77">
        <f>IF($U$299="snížená",$N$299,0)</f>
        <v>0</v>
      </c>
      <c r="BG299" s="77">
        <f>IF($U$299="zákl. přenesená",$N$299,0)</f>
        <v>0</v>
      </c>
      <c r="BH299" s="77">
        <f>IF($U$299="sníž. přenesená",$N$299,0)</f>
        <v>0</v>
      </c>
      <c r="BI299" s="77">
        <f>IF($U$299="nulová",$N$299,0)</f>
        <v>0</v>
      </c>
      <c r="BJ299" s="6" t="s">
        <v>17</v>
      </c>
      <c r="BK299" s="77">
        <f>ROUND($L$299*$K$299,2)</f>
        <v>0</v>
      </c>
      <c r="BL299" s="6" t="s">
        <v>221</v>
      </c>
    </row>
    <row r="300" spans="2:51" s="6" customFormat="1" ht="15.75" customHeight="1">
      <c r="B300" s="126"/>
      <c r="E300" s="127"/>
      <c r="F300" s="198" t="s">
        <v>476</v>
      </c>
      <c r="G300" s="199"/>
      <c r="H300" s="199"/>
      <c r="I300" s="199"/>
      <c r="K300" s="128">
        <v>33.58</v>
      </c>
      <c r="R300" s="129"/>
      <c r="T300" s="130"/>
      <c r="AA300" s="131"/>
      <c r="AT300" s="127" t="s">
        <v>167</v>
      </c>
      <c r="AU300" s="127" t="s">
        <v>102</v>
      </c>
      <c r="AV300" s="127" t="s">
        <v>102</v>
      </c>
      <c r="AW300" s="127" t="s">
        <v>109</v>
      </c>
      <c r="AX300" s="127" t="s">
        <v>17</v>
      </c>
      <c r="AY300" s="127" t="s">
        <v>160</v>
      </c>
    </row>
    <row r="301" spans="2:64" s="6" customFormat="1" ht="15.75" customHeight="1">
      <c r="B301" s="21"/>
      <c r="C301" s="138" t="s">
        <v>477</v>
      </c>
      <c r="D301" s="138" t="s">
        <v>276</v>
      </c>
      <c r="E301" s="139" t="s">
        <v>478</v>
      </c>
      <c r="F301" s="202" t="s">
        <v>479</v>
      </c>
      <c r="G301" s="203"/>
      <c r="H301" s="203"/>
      <c r="I301" s="203"/>
      <c r="J301" s="140" t="s">
        <v>164</v>
      </c>
      <c r="K301" s="141">
        <v>12.357</v>
      </c>
      <c r="L301" s="204">
        <v>0</v>
      </c>
      <c r="M301" s="203"/>
      <c r="N301" s="205">
        <f>ROUND($L$301*$K$301,2)</f>
        <v>0</v>
      </c>
      <c r="O301" s="195"/>
      <c r="P301" s="195"/>
      <c r="Q301" s="195"/>
      <c r="R301" s="22"/>
      <c r="T301" s="123"/>
      <c r="U301" s="28" t="s">
        <v>41</v>
      </c>
      <c r="V301" s="124">
        <v>0</v>
      </c>
      <c r="W301" s="124">
        <f>$V$301*$K$301</f>
        <v>0</v>
      </c>
      <c r="X301" s="124">
        <v>0.0001</v>
      </c>
      <c r="Y301" s="124">
        <f>$X$301*$K$301</f>
        <v>0.0012357</v>
      </c>
      <c r="Z301" s="124">
        <v>0</v>
      </c>
      <c r="AA301" s="125">
        <f>$Z$301*$K$301</f>
        <v>0</v>
      </c>
      <c r="AR301" s="6" t="s">
        <v>283</v>
      </c>
      <c r="AT301" s="6" t="s">
        <v>276</v>
      </c>
      <c r="AU301" s="6" t="s">
        <v>102</v>
      </c>
      <c r="AY301" s="6" t="s">
        <v>160</v>
      </c>
      <c r="BE301" s="77">
        <f>IF($U$301="základní",$N$301,0)</f>
        <v>0</v>
      </c>
      <c r="BF301" s="77">
        <f>IF($U$301="snížená",$N$301,0)</f>
        <v>0</v>
      </c>
      <c r="BG301" s="77">
        <f>IF($U$301="zákl. přenesená",$N$301,0)</f>
        <v>0</v>
      </c>
      <c r="BH301" s="77">
        <f>IF($U$301="sníž. přenesená",$N$301,0)</f>
        <v>0</v>
      </c>
      <c r="BI301" s="77">
        <f>IF($U$301="nulová",$N$301,0)</f>
        <v>0</v>
      </c>
      <c r="BJ301" s="6" t="s">
        <v>17</v>
      </c>
      <c r="BK301" s="77">
        <f>ROUND($L$301*$K$301,2)</f>
        <v>0</v>
      </c>
      <c r="BL301" s="6" t="s">
        <v>221</v>
      </c>
    </row>
    <row r="302" spans="2:64" s="6" customFormat="1" ht="27" customHeight="1">
      <c r="B302" s="21"/>
      <c r="C302" s="119" t="s">
        <v>480</v>
      </c>
      <c r="D302" s="119" t="s">
        <v>161</v>
      </c>
      <c r="E302" s="120" t="s">
        <v>481</v>
      </c>
      <c r="F302" s="194" t="s">
        <v>482</v>
      </c>
      <c r="G302" s="195"/>
      <c r="H302" s="195"/>
      <c r="I302" s="195"/>
      <c r="J302" s="121" t="s">
        <v>472</v>
      </c>
      <c r="K302" s="142">
        <v>0</v>
      </c>
      <c r="L302" s="196">
        <v>0</v>
      </c>
      <c r="M302" s="195"/>
      <c r="N302" s="197">
        <f>ROUND($L$302*$K$302,2)</f>
        <v>0</v>
      </c>
      <c r="O302" s="195"/>
      <c r="P302" s="195"/>
      <c r="Q302" s="195"/>
      <c r="R302" s="22"/>
      <c r="T302" s="123"/>
      <c r="U302" s="28" t="s">
        <v>41</v>
      </c>
      <c r="V302" s="124">
        <v>0</v>
      </c>
      <c r="W302" s="124">
        <f>$V$302*$K$302</f>
        <v>0</v>
      </c>
      <c r="X302" s="124">
        <v>0</v>
      </c>
      <c r="Y302" s="124">
        <f>$X$302*$K$302</f>
        <v>0</v>
      </c>
      <c r="Z302" s="124">
        <v>0</v>
      </c>
      <c r="AA302" s="125">
        <f>$Z$302*$K$302</f>
        <v>0</v>
      </c>
      <c r="AR302" s="6" t="s">
        <v>221</v>
      </c>
      <c r="AT302" s="6" t="s">
        <v>161</v>
      </c>
      <c r="AU302" s="6" t="s">
        <v>102</v>
      </c>
      <c r="AY302" s="6" t="s">
        <v>160</v>
      </c>
      <c r="BE302" s="77">
        <f>IF($U$302="základní",$N$302,0)</f>
        <v>0</v>
      </c>
      <c r="BF302" s="77">
        <f>IF($U$302="snížená",$N$302,0)</f>
        <v>0</v>
      </c>
      <c r="BG302" s="77">
        <f>IF($U$302="zákl. přenesená",$N$302,0)</f>
        <v>0</v>
      </c>
      <c r="BH302" s="77">
        <f>IF($U$302="sníž. přenesená",$N$302,0)</f>
        <v>0</v>
      </c>
      <c r="BI302" s="77">
        <f>IF($U$302="nulová",$N$302,0)</f>
        <v>0</v>
      </c>
      <c r="BJ302" s="6" t="s">
        <v>17</v>
      </c>
      <c r="BK302" s="77">
        <f>ROUND($L$302*$K$302,2)</f>
        <v>0</v>
      </c>
      <c r="BL302" s="6" t="s">
        <v>221</v>
      </c>
    </row>
    <row r="303" spans="2:63" s="109" customFormat="1" ht="30.75" customHeight="1">
      <c r="B303" s="110"/>
      <c r="D303" s="118" t="s">
        <v>122</v>
      </c>
      <c r="N303" s="210">
        <f>$BK$303</f>
        <v>0</v>
      </c>
      <c r="O303" s="209"/>
      <c r="P303" s="209"/>
      <c r="Q303" s="209"/>
      <c r="R303" s="113"/>
      <c r="T303" s="114"/>
      <c r="W303" s="115">
        <f>SUM($W$304:$W$319)</f>
        <v>7.633900000000001</v>
      </c>
      <c r="Y303" s="115">
        <f>SUM($Y$304:$Y$319)</f>
        <v>0.25100987999999996</v>
      </c>
      <c r="AA303" s="116">
        <f>SUM($AA$304:$AA$319)</f>
        <v>0</v>
      </c>
      <c r="AR303" s="112" t="s">
        <v>102</v>
      </c>
      <c r="AT303" s="112" t="s">
        <v>75</v>
      </c>
      <c r="AU303" s="112" t="s">
        <v>17</v>
      </c>
      <c r="AY303" s="112" t="s">
        <v>160</v>
      </c>
      <c r="BK303" s="117">
        <f>SUM($BK$304:$BK$319)</f>
        <v>0</v>
      </c>
    </row>
    <row r="304" spans="2:64" s="6" customFormat="1" ht="27" customHeight="1">
      <c r="B304" s="21"/>
      <c r="C304" s="119" t="s">
        <v>483</v>
      </c>
      <c r="D304" s="119" t="s">
        <v>161</v>
      </c>
      <c r="E304" s="120" t="s">
        <v>484</v>
      </c>
      <c r="F304" s="194" t="s">
        <v>485</v>
      </c>
      <c r="G304" s="195"/>
      <c r="H304" s="195"/>
      <c r="I304" s="195"/>
      <c r="J304" s="121" t="s">
        <v>164</v>
      </c>
      <c r="K304" s="122">
        <v>35.98</v>
      </c>
      <c r="L304" s="196">
        <v>0</v>
      </c>
      <c r="M304" s="195"/>
      <c r="N304" s="197">
        <f>ROUND($L$304*$K$304,2)</f>
        <v>0</v>
      </c>
      <c r="O304" s="195"/>
      <c r="P304" s="195"/>
      <c r="Q304" s="195"/>
      <c r="R304" s="22"/>
      <c r="T304" s="123"/>
      <c r="U304" s="28" t="s">
        <v>41</v>
      </c>
      <c r="V304" s="124">
        <v>0.09</v>
      </c>
      <c r="W304" s="124">
        <f>$V$304*$K$304</f>
        <v>3.2381999999999995</v>
      </c>
      <c r="X304" s="124">
        <v>0</v>
      </c>
      <c r="Y304" s="124">
        <f>$X$304*$K$304</f>
        <v>0</v>
      </c>
      <c r="Z304" s="124">
        <v>0</v>
      </c>
      <c r="AA304" s="125">
        <f>$Z$304*$K$304</f>
        <v>0</v>
      </c>
      <c r="AR304" s="6" t="s">
        <v>221</v>
      </c>
      <c r="AT304" s="6" t="s">
        <v>161</v>
      </c>
      <c r="AU304" s="6" t="s">
        <v>102</v>
      </c>
      <c r="AY304" s="6" t="s">
        <v>160</v>
      </c>
      <c r="BE304" s="77">
        <f>IF($U$304="základní",$N$304,0)</f>
        <v>0</v>
      </c>
      <c r="BF304" s="77">
        <f>IF($U$304="snížená",$N$304,0)</f>
        <v>0</v>
      </c>
      <c r="BG304" s="77">
        <f>IF($U$304="zákl. přenesená",$N$304,0)</f>
        <v>0</v>
      </c>
      <c r="BH304" s="77">
        <f>IF($U$304="sníž. přenesená",$N$304,0)</f>
        <v>0</v>
      </c>
      <c r="BI304" s="77">
        <f>IF($U$304="nulová",$N$304,0)</f>
        <v>0</v>
      </c>
      <c r="BJ304" s="6" t="s">
        <v>17</v>
      </c>
      <c r="BK304" s="77">
        <f>ROUND($L$304*$K$304,2)</f>
        <v>0</v>
      </c>
      <c r="BL304" s="6" t="s">
        <v>221</v>
      </c>
    </row>
    <row r="305" spans="2:51" s="6" customFormat="1" ht="15.75" customHeight="1">
      <c r="B305" s="126"/>
      <c r="E305" s="127"/>
      <c r="F305" s="198" t="s">
        <v>486</v>
      </c>
      <c r="G305" s="199"/>
      <c r="H305" s="199"/>
      <c r="I305" s="199"/>
      <c r="K305" s="128">
        <v>35.98</v>
      </c>
      <c r="R305" s="129"/>
      <c r="T305" s="130"/>
      <c r="AA305" s="131"/>
      <c r="AT305" s="127" t="s">
        <v>167</v>
      </c>
      <c r="AU305" s="127" t="s">
        <v>102</v>
      </c>
      <c r="AV305" s="127" t="s">
        <v>102</v>
      </c>
      <c r="AW305" s="127" t="s">
        <v>109</v>
      </c>
      <c r="AX305" s="127" t="s">
        <v>17</v>
      </c>
      <c r="AY305" s="127" t="s">
        <v>160</v>
      </c>
    </row>
    <row r="306" spans="2:64" s="6" customFormat="1" ht="27" customHeight="1">
      <c r="B306" s="21"/>
      <c r="C306" s="138" t="s">
        <v>487</v>
      </c>
      <c r="D306" s="138" t="s">
        <v>276</v>
      </c>
      <c r="E306" s="139" t="s">
        <v>488</v>
      </c>
      <c r="F306" s="202" t="s">
        <v>489</v>
      </c>
      <c r="G306" s="203"/>
      <c r="H306" s="203"/>
      <c r="I306" s="203"/>
      <c r="J306" s="140" t="s">
        <v>164</v>
      </c>
      <c r="K306" s="141">
        <v>18.35</v>
      </c>
      <c r="L306" s="204">
        <v>0</v>
      </c>
      <c r="M306" s="203"/>
      <c r="N306" s="205">
        <f>ROUND($L$306*$K$306,2)</f>
        <v>0</v>
      </c>
      <c r="O306" s="195"/>
      <c r="P306" s="195"/>
      <c r="Q306" s="195"/>
      <c r="R306" s="22"/>
      <c r="T306" s="123"/>
      <c r="U306" s="28" t="s">
        <v>41</v>
      </c>
      <c r="V306" s="124">
        <v>0</v>
      </c>
      <c r="W306" s="124">
        <f>$V$306*$K$306</f>
        <v>0</v>
      </c>
      <c r="X306" s="124">
        <v>0.0042</v>
      </c>
      <c r="Y306" s="124">
        <f>$X$306*$K$306</f>
        <v>0.07707</v>
      </c>
      <c r="Z306" s="124">
        <v>0</v>
      </c>
      <c r="AA306" s="125">
        <f>$Z$306*$K$306</f>
        <v>0</v>
      </c>
      <c r="AR306" s="6" t="s">
        <v>283</v>
      </c>
      <c r="AT306" s="6" t="s">
        <v>276</v>
      </c>
      <c r="AU306" s="6" t="s">
        <v>102</v>
      </c>
      <c r="AY306" s="6" t="s">
        <v>160</v>
      </c>
      <c r="BE306" s="77">
        <f>IF($U$306="základní",$N$306,0)</f>
        <v>0</v>
      </c>
      <c r="BF306" s="77">
        <f>IF($U$306="snížená",$N$306,0)</f>
        <v>0</v>
      </c>
      <c r="BG306" s="77">
        <f>IF($U$306="zákl. přenesená",$N$306,0)</f>
        <v>0</v>
      </c>
      <c r="BH306" s="77">
        <f>IF($U$306="sníž. přenesená",$N$306,0)</f>
        <v>0</v>
      </c>
      <c r="BI306" s="77">
        <f>IF($U$306="nulová",$N$306,0)</f>
        <v>0</v>
      </c>
      <c r="BJ306" s="6" t="s">
        <v>17</v>
      </c>
      <c r="BK306" s="77">
        <f>ROUND($L$306*$K$306,2)</f>
        <v>0</v>
      </c>
      <c r="BL306" s="6" t="s">
        <v>221</v>
      </c>
    </row>
    <row r="307" spans="2:64" s="6" customFormat="1" ht="27" customHeight="1">
      <c r="B307" s="21"/>
      <c r="C307" s="138" t="s">
        <v>490</v>
      </c>
      <c r="D307" s="138" t="s">
        <v>276</v>
      </c>
      <c r="E307" s="139" t="s">
        <v>491</v>
      </c>
      <c r="F307" s="202" t="s">
        <v>492</v>
      </c>
      <c r="G307" s="203"/>
      <c r="H307" s="203"/>
      <c r="I307" s="203"/>
      <c r="J307" s="140" t="s">
        <v>164</v>
      </c>
      <c r="K307" s="141">
        <v>18.35</v>
      </c>
      <c r="L307" s="204">
        <v>0</v>
      </c>
      <c r="M307" s="203"/>
      <c r="N307" s="205">
        <f>ROUND($L$307*$K$307,2)</f>
        <v>0</v>
      </c>
      <c r="O307" s="195"/>
      <c r="P307" s="195"/>
      <c r="Q307" s="195"/>
      <c r="R307" s="22"/>
      <c r="T307" s="123"/>
      <c r="U307" s="28" t="s">
        <v>41</v>
      </c>
      <c r="V307" s="124">
        <v>0</v>
      </c>
      <c r="W307" s="124">
        <f>$V$307*$K$307</f>
        <v>0</v>
      </c>
      <c r="X307" s="124">
        <v>0.0049</v>
      </c>
      <c r="Y307" s="124">
        <f>$X$307*$K$307</f>
        <v>0.08991500000000001</v>
      </c>
      <c r="Z307" s="124">
        <v>0</v>
      </c>
      <c r="AA307" s="125">
        <f>$Z$307*$K$307</f>
        <v>0</v>
      </c>
      <c r="AR307" s="6" t="s">
        <v>283</v>
      </c>
      <c r="AT307" s="6" t="s">
        <v>276</v>
      </c>
      <c r="AU307" s="6" t="s">
        <v>102</v>
      </c>
      <c r="AY307" s="6" t="s">
        <v>160</v>
      </c>
      <c r="BE307" s="77">
        <f>IF($U$307="základní",$N$307,0)</f>
        <v>0</v>
      </c>
      <c r="BF307" s="77">
        <f>IF($U$307="snížená",$N$307,0)</f>
        <v>0</v>
      </c>
      <c r="BG307" s="77">
        <f>IF($U$307="zákl. přenesená",$N$307,0)</f>
        <v>0</v>
      </c>
      <c r="BH307" s="77">
        <f>IF($U$307="sníž. přenesená",$N$307,0)</f>
        <v>0</v>
      </c>
      <c r="BI307" s="77">
        <f>IF($U$307="nulová",$N$307,0)</f>
        <v>0</v>
      </c>
      <c r="BJ307" s="6" t="s">
        <v>17</v>
      </c>
      <c r="BK307" s="77">
        <f>ROUND($L$307*$K$307,2)</f>
        <v>0</v>
      </c>
      <c r="BL307" s="6" t="s">
        <v>221</v>
      </c>
    </row>
    <row r="308" spans="2:64" s="6" customFormat="1" ht="27" customHeight="1">
      <c r="B308" s="21"/>
      <c r="C308" s="119" t="s">
        <v>493</v>
      </c>
      <c r="D308" s="119" t="s">
        <v>161</v>
      </c>
      <c r="E308" s="120" t="s">
        <v>494</v>
      </c>
      <c r="F308" s="194" t="s">
        <v>495</v>
      </c>
      <c r="G308" s="195"/>
      <c r="H308" s="195"/>
      <c r="I308" s="195"/>
      <c r="J308" s="121" t="s">
        <v>164</v>
      </c>
      <c r="K308" s="122">
        <v>35.7</v>
      </c>
      <c r="L308" s="196">
        <v>0</v>
      </c>
      <c r="M308" s="195"/>
      <c r="N308" s="197">
        <f>ROUND($L$308*$K$308,2)</f>
        <v>0</v>
      </c>
      <c r="O308" s="195"/>
      <c r="P308" s="195"/>
      <c r="Q308" s="195"/>
      <c r="R308" s="22"/>
      <c r="T308" s="123"/>
      <c r="U308" s="28" t="s">
        <v>41</v>
      </c>
      <c r="V308" s="124">
        <v>0.06</v>
      </c>
      <c r="W308" s="124">
        <f>$V$308*$K$308</f>
        <v>2.142</v>
      </c>
      <c r="X308" s="124">
        <v>0</v>
      </c>
      <c r="Y308" s="124">
        <f>$X$308*$K$308</f>
        <v>0</v>
      </c>
      <c r="Z308" s="124">
        <v>0</v>
      </c>
      <c r="AA308" s="125">
        <f>$Z$308*$K$308</f>
        <v>0</v>
      </c>
      <c r="AR308" s="6" t="s">
        <v>221</v>
      </c>
      <c r="AT308" s="6" t="s">
        <v>161</v>
      </c>
      <c r="AU308" s="6" t="s">
        <v>102</v>
      </c>
      <c r="AY308" s="6" t="s">
        <v>160</v>
      </c>
      <c r="BE308" s="77">
        <f>IF($U$308="základní",$N$308,0)</f>
        <v>0</v>
      </c>
      <c r="BF308" s="77">
        <f>IF($U$308="snížená",$N$308,0)</f>
        <v>0</v>
      </c>
      <c r="BG308" s="77">
        <f>IF($U$308="zákl. přenesená",$N$308,0)</f>
        <v>0</v>
      </c>
      <c r="BH308" s="77">
        <f>IF($U$308="sníž. přenesená",$N$308,0)</f>
        <v>0</v>
      </c>
      <c r="BI308" s="77">
        <f>IF($U$308="nulová",$N$308,0)</f>
        <v>0</v>
      </c>
      <c r="BJ308" s="6" t="s">
        <v>17</v>
      </c>
      <c r="BK308" s="77">
        <f>ROUND($L$308*$K$308,2)</f>
        <v>0</v>
      </c>
      <c r="BL308" s="6" t="s">
        <v>221</v>
      </c>
    </row>
    <row r="309" spans="2:51" s="6" customFormat="1" ht="15.75" customHeight="1">
      <c r="B309" s="126"/>
      <c r="E309" s="127"/>
      <c r="F309" s="198" t="s">
        <v>496</v>
      </c>
      <c r="G309" s="199"/>
      <c r="H309" s="199"/>
      <c r="I309" s="199"/>
      <c r="K309" s="128">
        <v>35.7</v>
      </c>
      <c r="R309" s="129"/>
      <c r="T309" s="130"/>
      <c r="AA309" s="131"/>
      <c r="AT309" s="127" t="s">
        <v>167</v>
      </c>
      <c r="AU309" s="127" t="s">
        <v>102</v>
      </c>
      <c r="AV309" s="127" t="s">
        <v>102</v>
      </c>
      <c r="AW309" s="127" t="s">
        <v>109</v>
      </c>
      <c r="AX309" s="127" t="s">
        <v>17</v>
      </c>
      <c r="AY309" s="127" t="s">
        <v>160</v>
      </c>
    </row>
    <row r="310" spans="2:64" s="6" customFormat="1" ht="27" customHeight="1">
      <c r="B310" s="21"/>
      <c r="C310" s="138" t="s">
        <v>497</v>
      </c>
      <c r="D310" s="138" t="s">
        <v>276</v>
      </c>
      <c r="E310" s="139" t="s">
        <v>498</v>
      </c>
      <c r="F310" s="202" t="s">
        <v>499</v>
      </c>
      <c r="G310" s="203"/>
      <c r="H310" s="203"/>
      <c r="I310" s="203"/>
      <c r="J310" s="140" t="s">
        <v>164</v>
      </c>
      <c r="K310" s="141">
        <v>18.054</v>
      </c>
      <c r="L310" s="204">
        <v>0</v>
      </c>
      <c r="M310" s="203"/>
      <c r="N310" s="205">
        <f>ROUND($L$310*$K$310,2)</f>
        <v>0</v>
      </c>
      <c r="O310" s="195"/>
      <c r="P310" s="195"/>
      <c r="Q310" s="195"/>
      <c r="R310" s="22"/>
      <c r="T310" s="123"/>
      <c r="U310" s="28" t="s">
        <v>41</v>
      </c>
      <c r="V310" s="124">
        <v>0</v>
      </c>
      <c r="W310" s="124">
        <f>$V$310*$K$310</f>
        <v>0</v>
      </c>
      <c r="X310" s="124">
        <v>0.0015</v>
      </c>
      <c r="Y310" s="124">
        <f>$X$310*$K$310</f>
        <v>0.027080999999999997</v>
      </c>
      <c r="Z310" s="124">
        <v>0</v>
      </c>
      <c r="AA310" s="125">
        <f>$Z$310*$K$310</f>
        <v>0</v>
      </c>
      <c r="AR310" s="6" t="s">
        <v>283</v>
      </c>
      <c r="AT310" s="6" t="s">
        <v>276</v>
      </c>
      <c r="AU310" s="6" t="s">
        <v>102</v>
      </c>
      <c r="AY310" s="6" t="s">
        <v>160</v>
      </c>
      <c r="BE310" s="77">
        <f>IF($U$310="základní",$N$310,0)</f>
        <v>0</v>
      </c>
      <c r="BF310" s="77">
        <f>IF($U$310="snížená",$N$310,0)</f>
        <v>0</v>
      </c>
      <c r="BG310" s="77">
        <f>IF($U$310="zákl. přenesená",$N$310,0)</f>
        <v>0</v>
      </c>
      <c r="BH310" s="77">
        <f>IF($U$310="sníž. přenesená",$N$310,0)</f>
        <v>0</v>
      </c>
      <c r="BI310" s="77">
        <f>IF($U$310="nulová",$N$310,0)</f>
        <v>0</v>
      </c>
      <c r="BJ310" s="6" t="s">
        <v>17</v>
      </c>
      <c r="BK310" s="77">
        <f>ROUND($L$310*$K$310,2)</f>
        <v>0</v>
      </c>
      <c r="BL310" s="6" t="s">
        <v>221</v>
      </c>
    </row>
    <row r="311" spans="2:64" s="6" customFormat="1" ht="27" customHeight="1">
      <c r="B311" s="21"/>
      <c r="C311" s="138" t="s">
        <v>500</v>
      </c>
      <c r="D311" s="138" t="s">
        <v>276</v>
      </c>
      <c r="E311" s="139" t="s">
        <v>501</v>
      </c>
      <c r="F311" s="202" t="s">
        <v>502</v>
      </c>
      <c r="G311" s="203"/>
      <c r="H311" s="203"/>
      <c r="I311" s="203"/>
      <c r="J311" s="140" t="s">
        <v>164</v>
      </c>
      <c r="K311" s="141">
        <v>18.054</v>
      </c>
      <c r="L311" s="204">
        <v>0</v>
      </c>
      <c r="M311" s="203"/>
      <c r="N311" s="205">
        <f>ROUND($L$311*$K$311,2)</f>
        <v>0</v>
      </c>
      <c r="O311" s="195"/>
      <c r="P311" s="195"/>
      <c r="Q311" s="195"/>
      <c r="R311" s="22"/>
      <c r="T311" s="123"/>
      <c r="U311" s="28" t="s">
        <v>41</v>
      </c>
      <c r="V311" s="124">
        <v>0</v>
      </c>
      <c r="W311" s="124">
        <f>$V$311*$K$311</f>
        <v>0</v>
      </c>
      <c r="X311" s="124">
        <v>0.0024</v>
      </c>
      <c r="Y311" s="124">
        <f>$X$311*$K$311</f>
        <v>0.043329599999999996</v>
      </c>
      <c r="Z311" s="124">
        <v>0</v>
      </c>
      <c r="AA311" s="125">
        <f>$Z$311*$K$311</f>
        <v>0</v>
      </c>
      <c r="AR311" s="6" t="s">
        <v>283</v>
      </c>
      <c r="AT311" s="6" t="s">
        <v>276</v>
      </c>
      <c r="AU311" s="6" t="s">
        <v>102</v>
      </c>
      <c r="AY311" s="6" t="s">
        <v>160</v>
      </c>
      <c r="BE311" s="77">
        <f>IF($U$311="základní",$N$311,0)</f>
        <v>0</v>
      </c>
      <c r="BF311" s="77">
        <f>IF($U$311="snížená",$N$311,0)</f>
        <v>0</v>
      </c>
      <c r="BG311" s="77">
        <f>IF($U$311="zákl. přenesená",$N$311,0)</f>
        <v>0</v>
      </c>
      <c r="BH311" s="77">
        <f>IF($U$311="sníž. přenesená",$N$311,0)</f>
        <v>0</v>
      </c>
      <c r="BI311" s="77">
        <f>IF($U$311="nulová",$N$311,0)</f>
        <v>0</v>
      </c>
      <c r="BJ311" s="6" t="s">
        <v>17</v>
      </c>
      <c r="BK311" s="77">
        <f>ROUND($L$311*$K$311,2)</f>
        <v>0</v>
      </c>
      <c r="BL311" s="6" t="s">
        <v>221</v>
      </c>
    </row>
    <row r="312" spans="2:51" s="6" customFormat="1" ht="15.75" customHeight="1">
      <c r="B312" s="126"/>
      <c r="E312" s="127"/>
      <c r="F312" s="198" t="s">
        <v>503</v>
      </c>
      <c r="G312" s="199"/>
      <c r="H312" s="199"/>
      <c r="I312" s="199"/>
      <c r="K312" s="128">
        <v>17.7</v>
      </c>
      <c r="R312" s="129"/>
      <c r="T312" s="130"/>
      <c r="AA312" s="131"/>
      <c r="AT312" s="127" t="s">
        <v>167</v>
      </c>
      <c r="AU312" s="127" t="s">
        <v>102</v>
      </c>
      <c r="AV312" s="127" t="s">
        <v>102</v>
      </c>
      <c r="AW312" s="127" t="s">
        <v>109</v>
      </c>
      <c r="AX312" s="127" t="s">
        <v>17</v>
      </c>
      <c r="AY312" s="127" t="s">
        <v>160</v>
      </c>
    </row>
    <row r="313" spans="2:64" s="6" customFormat="1" ht="27" customHeight="1">
      <c r="B313" s="21"/>
      <c r="C313" s="119" t="s">
        <v>504</v>
      </c>
      <c r="D313" s="119" t="s">
        <v>161</v>
      </c>
      <c r="E313" s="120" t="s">
        <v>505</v>
      </c>
      <c r="F313" s="194" t="s">
        <v>506</v>
      </c>
      <c r="G313" s="195"/>
      <c r="H313" s="195"/>
      <c r="I313" s="195"/>
      <c r="J313" s="121" t="s">
        <v>164</v>
      </c>
      <c r="K313" s="122">
        <v>2.7</v>
      </c>
      <c r="L313" s="196">
        <v>0</v>
      </c>
      <c r="M313" s="195"/>
      <c r="N313" s="197">
        <f>ROUND($L$313*$K$313,2)</f>
        <v>0</v>
      </c>
      <c r="O313" s="195"/>
      <c r="P313" s="195"/>
      <c r="Q313" s="195"/>
      <c r="R313" s="22"/>
      <c r="T313" s="123"/>
      <c r="U313" s="28" t="s">
        <v>41</v>
      </c>
      <c r="V313" s="124">
        <v>0.171</v>
      </c>
      <c r="W313" s="124">
        <f>$V$313*$K$313</f>
        <v>0.46170000000000005</v>
      </c>
      <c r="X313" s="124">
        <v>0.0003</v>
      </c>
      <c r="Y313" s="124">
        <f>$X$313*$K$313</f>
        <v>0.00081</v>
      </c>
      <c r="Z313" s="124">
        <v>0</v>
      </c>
      <c r="AA313" s="125">
        <f>$Z$313*$K$313</f>
        <v>0</v>
      </c>
      <c r="AR313" s="6" t="s">
        <v>221</v>
      </c>
      <c r="AT313" s="6" t="s">
        <v>161</v>
      </c>
      <c r="AU313" s="6" t="s">
        <v>102</v>
      </c>
      <c r="AY313" s="6" t="s">
        <v>160</v>
      </c>
      <c r="BE313" s="77">
        <f>IF($U$313="základní",$N$313,0)</f>
        <v>0</v>
      </c>
      <c r="BF313" s="77">
        <f>IF($U$313="snížená",$N$313,0)</f>
        <v>0</v>
      </c>
      <c r="BG313" s="77">
        <f>IF($U$313="zákl. přenesená",$N$313,0)</f>
        <v>0</v>
      </c>
      <c r="BH313" s="77">
        <f>IF($U$313="sníž. přenesená",$N$313,0)</f>
        <v>0</v>
      </c>
      <c r="BI313" s="77">
        <f>IF($U$313="nulová",$N$313,0)</f>
        <v>0</v>
      </c>
      <c r="BJ313" s="6" t="s">
        <v>17</v>
      </c>
      <c r="BK313" s="77">
        <f>ROUND($L$313*$K$313,2)</f>
        <v>0</v>
      </c>
      <c r="BL313" s="6" t="s">
        <v>221</v>
      </c>
    </row>
    <row r="314" spans="2:51" s="6" customFormat="1" ht="15.75" customHeight="1">
      <c r="B314" s="126"/>
      <c r="E314" s="127"/>
      <c r="F314" s="198" t="s">
        <v>507</v>
      </c>
      <c r="G314" s="199"/>
      <c r="H314" s="199"/>
      <c r="I314" s="199"/>
      <c r="K314" s="128">
        <v>2.7</v>
      </c>
      <c r="R314" s="129"/>
      <c r="T314" s="130"/>
      <c r="AA314" s="131"/>
      <c r="AT314" s="127" t="s">
        <v>167</v>
      </c>
      <c r="AU314" s="127" t="s">
        <v>102</v>
      </c>
      <c r="AV314" s="127" t="s">
        <v>102</v>
      </c>
      <c r="AW314" s="127" t="s">
        <v>109</v>
      </c>
      <c r="AX314" s="127" t="s">
        <v>17</v>
      </c>
      <c r="AY314" s="127" t="s">
        <v>160</v>
      </c>
    </row>
    <row r="315" spans="2:64" s="6" customFormat="1" ht="27" customHeight="1">
      <c r="B315" s="21"/>
      <c r="C315" s="138" t="s">
        <v>508</v>
      </c>
      <c r="D315" s="138" t="s">
        <v>276</v>
      </c>
      <c r="E315" s="139" t="s">
        <v>509</v>
      </c>
      <c r="F315" s="202" t="s">
        <v>510</v>
      </c>
      <c r="G315" s="203"/>
      <c r="H315" s="203"/>
      <c r="I315" s="203"/>
      <c r="J315" s="140" t="s">
        <v>164</v>
      </c>
      <c r="K315" s="141">
        <v>2.754</v>
      </c>
      <c r="L315" s="204">
        <v>0</v>
      </c>
      <c r="M315" s="203"/>
      <c r="N315" s="205">
        <f>ROUND($L$315*$K$315,2)</f>
        <v>0</v>
      </c>
      <c r="O315" s="195"/>
      <c r="P315" s="195"/>
      <c r="Q315" s="195"/>
      <c r="R315" s="22"/>
      <c r="T315" s="123"/>
      <c r="U315" s="28" t="s">
        <v>41</v>
      </c>
      <c r="V315" s="124">
        <v>0</v>
      </c>
      <c r="W315" s="124">
        <f>$V$315*$K$315</f>
        <v>0</v>
      </c>
      <c r="X315" s="124">
        <v>0.0015</v>
      </c>
      <c r="Y315" s="124">
        <f>$X$315*$K$315</f>
        <v>0.004131</v>
      </c>
      <c r="Z315" s="124">
        <v>0</v>
      </c>
      <c r="AA315" s="125">
        <f>$Z$315*$K$315</f>
        <v>0</v>
      </c>
      <c r="AR315" s="6" t="s">
        <v>283</v>
      </c>
      <c r="AT315" s="6" t="s">
        <v>276</v>
      </c>
      <c r="AU315" s="6" t="s">
        <v>102</v>
      </c>
      <c r="AY315" s="6" t="s">
        <v>160</v>
      </c>
      <c r="BE315" s="77">
        <f>IF($U$315="základní",$N$315,0)</f>
        <v>0</v>
      </c>
      <c r="BF315" s="77">
        <f>IF($U$315="snížená",$N$315,0)</f>
        <v>0</v>
      </c>
      <c r="BG315" s="77">
        <f>IF($U$315="zákl. přenesená",$N$315,0)</f>
        <v>0</v>
      </c>
      <c r="BH315" s="77">
        <f>IF($U$315="sníž. přenesená",$N$315,0)</f>
        <v>0</v>
      </c>
      <c r="BI315" s="77">
        <f>IF($U$315="nulová",$N$315,0)</f>
        <v>0</v>
      </c>
      <c r="BJ315" s="6" t="s">
        <v>17</v>
      </c>
      <c r="BK315" s="77">
        <f>ROUND($L$315*$K$315,2)</f>
        <v>0</v>
      </c>
      <c r="BL315" s="6" t="s">
        <v>221</v>
      </c>
    </row>
    <row r="316" spans="2:64" s="6" customFormat="1" ht="27" customHeight="1">
      <c r="B316" s="21"/>
      <c r="C316" s="119" t="s">
        <v>511</v>
      </c>
      <c r="D316" s="119" t="s">
        <v>161</v>
      </c>
      <c r="E316" s="120" t="s">
        <v>512</v>
      </c>
      <c r="F316" s="194" t="s">
        <v>513</v>
      </c>
      <c r="G316" s="195"/>
      <c r="H316" s="195"/>
      <c r="I316" s="195"/>
      <c r="J316" s="121" t="s">
        <v>164</v>
      </c>
      <c r="K316" s="122">
        <v>71.68</v>
      </c>
      <c r="L316" s="196">
        <v>0</v>
      </c>
      <c r="M316" s="195"/>
      <c r="N316" s="197">
        <f>ROUND($L$316*$K$316,2)</f>
        <v>0</v>
      </c>
      <c r="O316" s="195"/>
      <c r="P316" s="195"/>
      <c r="Q316" s="195"/>
      <c r="R316" s="22"/>
      <c r="T316" s="123"/>
      <c r="U316" s="28" t="s">
        <v>41</v>
      </c>
      <c r="V316" s="124">
        <v>0.025</v>
      </c>
      <c r="W316" s="124">
        <f>$V$316*$K$316</f>
        <v>1.7920000000000003</v>
      </c>
      <c r="X316" s="124">
        <v>0</v>
      </c>
      <c r="Y316" s="124">
        <f>$X$316*$K$316</f>
        <v>0</v>
      </c>
      <c r="Z316" s="124">
        <v>0</v>
      </c>
      <c r="AA316" s="125">
        <f>$Z$316*$K$316</f>
        <v>0</v>
      </c>
      <c r="AR316" s="6" t="s">
        <v>221</v>
      </c>
      <c r="AT316" s="6" t="s">
        <v>161</v>
      </c>
      <c r="AU316" s="6" t="s">
        <v>102</v>
      </c>
      <c r="AY316" s="6" t="s">
        <v>160</v>
      </c>
      <c r="BE316" s="77">
        <f>IF($U$316="základní",$N$316,0)</f>
        <v>0</v>
      </c>
      <c r="BF316" s="77">
        <f>IF($U$316="snížená",$N$316,0)</f>
        <v>0</v>
      </c>
      <c r="BG316" s="77">
        <f>IF($U$316="zákl. přenesená",$N$316,0)</f>
        <v>0</v>
      </c>
      <c r="BH316" s="77">
        <f>IF($U$316="sníž. přenesená",$N$316,0)</f>
        <v>0</v>
      </c>
      <c r="BI316" s="77">
        <f>IF($U$316="nulová",$N$316,0)</f>
        <v>0</v>
      </c>
      <c r="BJ316" s="6" t="s">
        <v>17</v>
      </c>
      <c r="BK316" s="77">
        <f>ROUND($L$316*$K$316,2)</f>
        <v>0</v>
      </c>
      <c r="BL316" s="6" t="s">
        <v>221</v>
      </c>
    </row>
    <row r="317" spans="2:51" s="6" customFormat="1" ht="15.75" customHeight="1">
      <c r="B317" s="126"/>
      <c r="E317" s="127"/>
      <c r="F317" s="198" t="s">
        <v>514</v>
      </c>
      <c r="G317" s="199"/>
      <c r="H317" s="199"/>
      <c r="I317" s="199"/>
      <c r="K317" s="128">
        <v>71.68</v>
      </c>
      <c r="R317" s="129"/>
      <c r="T317" s="130"/>
      <c r="AA317" s="131"/>
      <c r="AT317" s="127" t="s">
        <v>167</v>
      </c>
      <c r="AU317" s="127" t="s">
        <v>102</v>
      </c>
      <c r="AV317" s="127" t="s">
        <v>102</v>
      </c>
      <c r="AW317" s="127" t="s">
        <v>109</v>
      </c>
      <c r="AX317" s="127" t="s">
        <v>17</v>
      </c>
      <c r="AY317" s="127" t="s">
        <v>160</v>
      </c>
    </row>
    <row r="318" spans="2:64" s="6" customFormat="1" ht="15.75" customHeight="1">
      <c r="B318" s="21"/>
      <c r="C318" s="138" t="s">
        <v>515</v>
      </c>
      <c r="D318" s="138" t="s">
        <v>276</v>
      </c>
      <c r="E318" s="139" t="s">
        <v>516</v>
      </c>
      <c r="F318" s="202" t="s">
        <v>517</v>
      </c>
      <c r="G318" s="203"/>
      <c r="H318" s="203"/>
      <c r="I318" s="203"/>
      <c r="J318" s="140" t="s">
        <v>164</v>
      </c>
      <c r="K318" s="141">
        <v>78.848</v>
      </c>
      <c r="L318" s="204">
        <v>0</v>
      </c>
      <c r="M318" s="203"/>
      <c r="N318" s="205">
        <f>ROUND($L$318*$K$318,2)</f>
        <v>0</v>
      </c>
      <c r="O318" s="195"/>
      <c r="P318" s="195"/>
      <c r="Q318" s="195"/>
      <c r="R318" s="22"/>
      <c r="T318" s="123"/>
      <c r="U318" s="28" t="s">
        <v>41</v>
      </c>
      <c r="V318" s="124">
        <v>0</v>
      </c>
      <c r="W318" s="124">
        <f>$V$318*$K$318</f>
        <v>0</v>
      </c>
      <c r="X318" s="124">
        <v>0.00011</v>
      </c>
      <c r="Y318" s="124">
        <f>$X$318*$K$318</f>
        <v>0.00867328</v>
      </c>
      <c r="Z318" s="124">
        <v>0</v>
      </c>
      <c r="AA318" s="125">
        <f>$Z$318*$K$318</f>
        <v>0</v>
      </c>
      <c r="AR318" s="6" t="s">
        <v>283</v>
      </c>
      <c r="AT318" s="6" t="s">
        <v>276</v>
      </c>
      <c r="AU318" s="6" t="s">
        <v>102</v>
      </c>
      <c r="AY318" s="6" t="s">
        <v>160</v>
      </c>
      <c r="BE318" s="77">
        <f>IF($U$318="základní",$N$318,0)</f>
        <v>0</v>
      </c>
      <c r="BF318" s="77">
        <f>IF($U$318="snížená",$N$318,0)</f>
        <v>0</v>
      </c>
      <c r="BG318" s="77">
        <f>IF($U$318="zákl. přenesená",$N$318,0)</f>
        <v>0</v>
      </c>
      <c r="BH318" s="77">
        <f>IF($U$318="sníž. přenesená",$N$318,0)</f>
        <v>0</v>
      </c>
      <c r="BI318" s="77">
        <f>IF($U$318="nulová",$N$318,0)</f>
        <v>0</v>
      </c>
      <c r="BJ318" s="6" t="s">
        <v>17</v>
      </c>
      <c r="BK318" s="77">
        <f>ROUND($L$318*$K$318,2)</f>
        <v>0</v>
      </c>
      <c r="BL318" s="6" t="s">
        <v>221</v>
      </c>
    </row>
    <row r="319" spans="2:64" s="6" customFormat="1" ht="27" customHeight="1">
      <c r="B319" s="21"/>
      <c r="C319" s="119" t="s">
        <v>518</v>
      </c>
      <c r="D319" s="119" t="s">
        <v>161</v>
      </c>
      <c r="E319" s="120" t="s">
        <v>519</v>
      </c>
      <c r="F319" s="194" t="s">
        <v>520</v>
      </c>
      <c r="G319" s="195"/>
      <c r="H319" s="195"/>
      <c r="I319" s="195"/>
      <c r="J319" s="121" t="s">
        <v>472</v>
      </c>
      <c r="K319" s="142">
        <v>0</v>
      </c>
      <c r="L319" s="196">
        <v>0</v>
      </c>
      <c r="M319" s="195"/>
      <c r="N319" s="197">
        <f>ROUND($L$319*$K$319,2)</f>
        <v>0</v>
      </c>
      <c r="O319" s="195"/>
      <c r="P319" s="195"/>
      <c r="Q319" s="195"/>
      <c r="R319" s="22"/>
      <c r="T319" s="123"/>
      <c r="U319" s="28" t="s">
        <v>41</v>
      </c>
      <c r="V319" s="124">
        <v>0</v>
      </c>
      <c r="W319" s="124">
        <f>$V$319*$K$319</f>
        <v>0</v>
      </c>
      <c r="X319" s="124">
        <v>0</v>
      </c>
      <c r="Y319" s="124">
        <f>$X$319*$K$319</f>
        <v>0</v>
      </c>
      <c r="Z319" s="124">
        <v>0</v>
      </c>
      <c r="AA319" s="125">
        <f>$Z$319*$K$319</f>
        <v>0</v>
      </c>
      <c r="AR319" s="6" t="s">
        <v>221</v>
      </c>
      <c r="AT319" s="6" t="s">
        <v>161</v>
      </c>
      <c r="AU319" s="6" t="s">
        <v>102</v>
      </c>
      <c r="AY319" s="6" t="s">
        <v>160</v>
      </c>
      <c r="BE319" s="77">
        <f>IF($U$319="základní",$N$319,0)</f>
        <v>0</v>
      </c>
      <c r="BF319" s="77">
        <f>IF($U$319="snížená",$N$319,0)</f>
        <v>0</v>
      </c>
      <c r="BG319" s="77">
        <f>IF($U$319="zákl. přenesená",$N$319,0)</f>
        <v>0</v>
      </c>
      <c r="BH319" s="77">
        <f>IF($U$319="sníž. přenesená",$N$319,0)</f>
        <v>0</v>
      </c>
      <c r="BI319" s="77">
        <f>IF($U$319="nulová",$N$319,0)</f>
        <v>0</v>
      </c>
      <c r="BJ319" s="6" t="s">
        <v>17</v>
      </c>
      <c r="BK319" s="77">
        <f>ROUND($L$319*$K$319,2)</f>
        <v>0</v>
      </c>
      <c r="BL319" s="6" t="s">
        <v>221</v>
      </c>
    </row>
    <row r="320" spans="2:63" s="109" customFormat="1" ht="30.75" customHeight="1">
      <c r="B320" s="110"/>
      <c r="D320" s="118" t="s">
        <v>123</v>
      </c>
      <c r="N320" s="210">
        <f>$BK$320</f>
        <v>0</v>
      </c>
      <c r="O320" s="209"/>
      <c r="P320" s="209"/>
      <c r="Q320" s="209"/>
      <c r="R320" s="113"/>
      <c r="T320" s="114"/>
      <c r="W320" s="115">
        <f>SUM($W$321:$W$322)</f>
        <v>0.53</v>
      </c>
      <c r="Y320" s="115">
        <f>SUM($Y$321:$Y$322)</f>
        <v>0</v>
      </c>
      <c r="AA320" s="116">
        <f>SUM($AA$321:$AA$322)</f>
        <v>0</v>
      </c>
      <c r="AR320" s="112" t="s">
        <v>102</v>
      </c>
      <c r="AT320" s="112" t="s">
        <v>75</v>
      </c>
      <c r="AU320" s="112" t="s">
        <v>17</v>
      </c>
      <c r="AY320" s="112" t="s">
        <v>160</v>
      </c>
      <c r="BK320" s="117">
        <f>SUM($BK$321:$BK$322)</f>
        <v>0</v>
      </c>
    </row>
    <row r="321" spans="2:64" s="6" customFormat="1" ht="27" customHeight="1">
      <c r="B321" s="21"/>
      <c r="C321" s="119" t="s">
        <v>23</v>
      </c>
      <c r="D321" s="119" t="s">
        <v>161</v>
      </c>
      <c r="E321" s="120" t="s">
        <v>521</v>
      </c>
      <c r="F321" s="194" t="s">
        <v>522</v>
      </c>
      <c r="G321" s="195"/>
      <c r="H321" s="195"/>
      <c r="I321" s="195"/>
      <c r="J321" s="121" t="s">
        <v>213</v>
      </c>
      <c r="K321" s="122">
        <v>1</v>
      </c>
      <c r="L321" s="196">
        <v>0</v>
      </c>
      <c r="M321" s="195"/>
      <c r="N321" s="197">
        <f>ROUND($L$321*$K$321,2)</f>
        <v>0</v>
      </c>
      <c r="O321" s="195"/>
      <c r="P321" s="195"/>
      <c r="Q321" s="195"/>
      <c r="R321" s="22"/>
      <c r="T321" s="123"/>
      <c r="U321" s="28" t="s">
        <v>41</v>
      </c>
      <c r="V321" s="124">
        <v>0.53</v>
      </c>
      <c r="W321" s="124">
        <f>$V$321*$K$321</f>
        <v>0.53</v>
      </c>
      <c r="X321" s="124">
        <v>0</v>
      </c>
      <c r="Y321" s="124">
        <f>$X$321*$K$321</f>
        <v>0</v>
      </c>
      <c r="Z321" s="124">
        <v>0</v>
      </c>
      <c r="AA321" s="125">
        <f>$Z$321*$K$321</f>
        <v>0</v>
      </c>
      <c r="AR321" s="6" t="s">
        <v>221</v>
      </c>
      <c r="AT321" s="6" t="s">
        <v>161</v>
      </c>
      <c r="AU321" s="6" t="s">
        <v>102</v>
      </c>
      <c r="AY321" s="6" t="s">
        <v>160</v>
      </c>
      <c r="BE321" s="77">
        <f>IF($U$321="základní",$N$321,0)</f>
        <v>0</v>
      </c>
      <c r="BF321" s="77">
        <f>IF($U$321="snížená",$N$321,0)</f>
        <v>0</v>
      </c>
      <c r="BG321" s="77">
        <f>IF($U$321="zákl. přenesená",$N$321,0)</f>
        <v>0</v>
      </c>
      <c r="BH321" s="77">
        <f>IF($U$321="sníž. přenesená",$N$321,0)</f>
        <v>0</v>
      </c>
      <c r="BI321" s="77">
        <f>IF($U$321="nulová",$N$321,0)</f>
        <v>0</v>
      </c>
      <c r="BJ321" s="6" t="s">
        <v>17</v>
      </c>
      <c r="BK321" s="77">
        <f>ROUND($L$321*$K$321,2)</f>
        <v>0</v>
      </c>
      <c r="BL321" s="6" t="s">
        <v>221</v>
      </c>
    </row>
    <row r="322" spans="2:64" s="6" customFormat="1" ht="27" customHeight="1">
      <c r="B322" s="21"/>
      <c r="C322" s="119" t="s">
        <v>523</v>
      </c>
      <c r="D322" s="119" t="s">
        <v>161</v>
      </c>
      <c r="E322" s="120" t="s">
        <v>524</v>
      </c>
      <c r="F322" s="194" t="s">
        <v>525</v>
      </c>
      <c r="G322" s="195"/>
      <c r="H322" s="195"/>
      <c r="I322" s="195"/>
      <c r="J322" s="121" t="s">
        <v>472</v>
      </c>
      <c r="K322" s="142">
        <v>0</v>
      </c>
      <c r="L322" s="196">
        <v>0</v>
      </c>
      <c r="M322" s="195"/>
      <c r="N322" s="197">
        <f>ROUND($L$322*$K$322,2)</f>
        <v>0</v>
      </c>
      <c r="O322" s="195"/>
      <c r="P322" s="195"/>
      <c r="Q322" s="195"/>
      <c r="R322" s="22"/>
      <c r="T322" s="123"/>
      <c r="U322" s="28" t="s">
        <v>41</v>
      </c>
      <c r="V322" s="124">
        <v>0</v>
      </c>
      <c r="W322" s="124">
        <f>$V$322*$K$322</f>
        <v>0</v>
      </c>
      <c r="X322" s="124">
        <v>0</v>
      </c>
      <c r="Y322" s="124">
        <f>$X$322*$K$322</f>
        <v>0</v>
      </c>
      <c r="Z322" s="124">
        <v>0</v>
      </c>
      <c r="AA322" s="125">
        <f>$Z$322*$K$322</f>
        <v>0</v>
      </c>
      <c r="AR322" s="6" t="s">
        <v>221</v>
      </c>
      <c r="AT322" s="6" t="s">
        <v>161</v>
      </c>
      <c r="AU322" s="6" t="s">
        <v>102</v>
      </c>
      <c r="AY322" s="6" t="s">
        <v>160</v>
      </c>
      <c r="BE322" s="77">
        <f>IF($U$322="základní",$N$322,0)</f>
        <v>0</v>
      </c>
      <c r="BF322" s="77">
        <f>IF($U$322="snížená",$N$322,0)</f>
        <v>0</v>
      </c>
      <c r="BG322" s="77">
        <f>IF($U$322="zákl. přenesená",$N$322,0)</f>
        <v>0</v>
      </c>
      <c r="BH322" s="77">
        <f>IF($U$322="sníž. přenesená",$N$322,0)</f>
        <v>0</v>
      </c>
      <c r="BI322" s="77">
        <f>IF($U$322="nulová",$N$322,0)</f>
        <v>0</v>
      </c>
      <c r="BJ322" s="6" t="s">
        <v>17</v>
      </c>
      <c r="BK322" s="77">
        <f>ROUND($L$322*$K$322,2)</f>
        <v>0</v>
      </c>
      <c r="BL322" s="6" t="s">
        <v>221</v>
      </c>
    </row>
    <row r="323" spans="2:63" s="109" customFormat="1" ht="30.75" customHeight="1">
      <c r="B323" s="110"/>
      <c r="D323" s="118" t="s">
        <v>124</v>
      </c>
      <c r="N323" s="210">
        <f>$BK$323</f>
        <v>0</v>
      </c>
      <c r="O323" s="209"/>
      <c r="P323" s="209"/>
      <c r="Q323" s="209"/>
      <c r="R323" s="113"/>
      <c r="T323" s="114"/>
      <c r="W323" s="115">
        <f>SUM($W$324:$W$325)</f>
        <v>6.304</v>
      </c>
      <c r="Y323" s="115">
        <f>SUM($Y$324:$Y$325)</f>
        <v>0</v>
      </c>
      <c r="AA323" s="116">
        <f>SUM($AA$324:$AA$325)</f>
        <v>0</v>
      </c>
      <c r="AR323" s="112" t="s">
        <v>102</v>
      </c>
      <c r="AT323" s="112" t="s">
        <v>75</v>
      </c>
      <c r="AU323" s="112" t="s">
        <v>17</v>
      </c>
      <c r="AY323" s="112" t="s">
        <v>160</v>
      </c>
      <c r="BK323" s="117">
        <f>SUM($BK$324:$BK$325)</f>
        <v>0</v>
      </c>
    </row>
    <row r="324" spans="2:64" s="6" customFormat="1" ht="15.75" customHeight="1">
      <c r="B324" s="21"/>
      <c r="C324" s="119" t="s">
        <v>526</v>
      </c>
      <c r="D324" s="119" t="s">
        <v>161</v>
      </c>
      <c r="E324" s="120" t="s">
        <v>527</v>
      </c>
      <c r="F324" s="194" t="s">
        <v>528</v>
      </c>
      <c r="G324" s="195"/>
      <c r="H324" s="195"/>
      <c r="I324" s="195"/>
      <c r="J324" s="121" t="s">
        <v>213</v>
      </c>
      <c r="K324" s="122">
        <v>1</v>
      </c>
      <c r="L324" s="196">
        <v>0</v>
      </c>
      <c r="M324" s="195"/>
      <c r="N324" s="197">
        <f>ROUND($L$324*$K$324,2)</f>
        <v>0</v>
      </c>
      <c r="O324" s="195"/>
      <c r="P324" s="195"/>
      <c r="Q324" s="195"/>
      <c r="R324" s="22"/>
      <c r="T324" s="123"/>
      <c r="U324" s="28" t="s">
        <v>41</v>
      </c>
      <c r="V324" s="124">
        <v>3.152</v>
      </c>
      <c r="W324" s="124">
        <f>$V$324*$K$324</f>
        <v>3.152</v>
      </c>
      <c r="X324" s="124">
        <v>0</v>
      </c>
      <c r="Y324" s="124">
        <f>$X$324*$K$324</f>
        <v>0</v>
      </c>
      <c r="Z324" s="124">
        <v>0</v>
      </c>
      <c r="AA324" s="125">
        <f>$Z$324*$K$324</f>
        <v>0</v>
      </c>
      <c r="AR324" s="6" t="s">
        <v>221</v>
      </c>
      <c r="AT324" s="6" t="s">
        <v>161</v>
      </c>
      <c r="AU324" s="6" t="s">
        <v>102</v>
      </c>
      <c r="AY324" s="6" t="s">
        <v>160</v>
      </c>
      <c r="BE324" s="77">
        <f>IF($U$324="základní",$N$324,0)</f>
        <v>0</v>
      </c>
      <c r="BF324" s="77">
        <f>IF($U$324="snížená",$N$324,0)</f>
        <v>0</v>
      </c>
      <c r="BG324" s="77">
        <f>IF($U$324="zákl. přenesená",$N$324,0)</f>
        <v>0</v>
      </c>
      <c r="BH324" s="77">
        <f>IF($U$324="sníž. přenesená",$N$324,0)</f>
        <v>0</v>
      </c>
      <c r="BI324" s="77">
        <f>IF($U$324="nulová",$N$324,0)</f>
        <v>0</v>
      </c>
      <c r="BJ324" s="6" t="s">
        <v>17</v>
      </c>
      <c r="BK324" s="77">
        <f>ROUND($L$324*$K$324,2)</f>
        <v>0</v>
      </c>
      <c r="BL324" s="6" t="s">
        <v>221</v>
      </c>
    </row>
    <row r="325" spans="2:64" s="6" customFormat="1" ht="15.75" customHeight="1">
      <c r="B325" s="21"/>
      <c r="C325" s="119" t="s">
        <v>529</v>
      </c>
      <c r="D325" s="119" t="s">
        <v>161</v>
      </c>
      <c r="E325" s="120" t="s">
        <v>530</v>
      </c>
      <c r="F325" s="194" t="s">
        <v>531</v>
      </c>
      <c r="G325" s="195"/>
      <c r="H325" s="195"/>
      <c r="I325" s="195"/>
      <c r="J325" s="121" t="s">
        <v>213</v>
      </c>
      <c r="K325" s="122">
        <v>1</v>
      </c>
      <c r="L325" s="196">
        <v>0</v>
      </c>
      <c r="M325" s="195"/>
      <c r="N325" s="197">
        <f>ROUND($L$325*$K$325,2)</f>
        <v>0</v>
      </c>
      <c r="O325" s="195"/>
      <c r="P325" s="195"/>
      <c r="Q325" s="195"/>
      <c r="R325" s="22"/>
      <c r="T325" s="123"/>
      <c r="U325" s="28" t="s">
        <v>41</v>
      </c>
      <c r="V325" s="124">
        <v>3.152</v>
      </c>
      <c r="W325" s="124">
        <f>$V$325*$K$325</f>
        <v>3.152</v>
      </c>
      <c r="X325" s="124">
        <v>0</v>
      </c>
      <c r="Y325" s="124">
        <f>$X$325*$K$325</f>
        <v>0</v>
      </c>
      <c r="Z325" s="124">
        <v>0</v>
      </c>
      <c r="AA325" s="125">
        <f>$Z$325*$K$325</f>
        <v>0</v>
      </c>
      <c r="AR325" s="6" t="s">
        <v>221</v>
      </c>
      <c r="AT325" s="6" t="s">
        <v>161</v>
      </c>
      <c r="AU325" s="6" t="s">
        <v>102</v>
      </c>
      <c r="AY325" s="6" t="s">
        <v>160</v>
      </c>
      <c r="BE325" s="77">
        <f>IF($U$325="základní",$N$325,0)</f>
        <v>0</v>
      </c>
      <c r="BF325" s="77">
        <f>IF($U$325="snížená",$N$325,0)</f>
        <v>0</v>
      </c>
      <c r="BG325" s="77">
        <f>IF($U$325="zákl. přenesená",$N$325,0)</f>
        <v>0</v>
      </c>
      <c r="BH325" s="77">
        <f>IF($U$325="sníž. přenesená",$N$325,0)</f>
        <v>0</v>
      </c>
      <c r="BI325" s="77">
        <f>IF($U$325="nulová",$N$325,0)</f>
        <v>0</v>
      </c>
      <c r="BJ325" s="6" t="s">
        <v>17</v>
      </c>
      <c r="BK325" s="77">
        <f>ROUND($L$325*$K$325,2)</f>
        <v>0</v>
      </c>
      <c r="BL325" s="6" t="s">
        <v>221</v>
      </c>
    </row>
    <row r="326" spans="2:63" s="109" customFormat="1" ht="30.75" customHeight="1">
      <c r="B326" s="110"/>
      <c r="D326" s="118" t="s">
        <v>125</v>
      </c>
      <c r="N326" s="210">
        <f>$BK$326</f>
        <v>0</v>
      </c>
      <c r="O326" s="209"/>
      <c r="P326" s="209"/>
      <c r="Q326" s="209"/>
      <c r="R326" s="113"/>
      <c r="T326" s="114"/>
      <c r="W326" s="115">
        <f>$W$327</f>
        <v>7.9559999999999995</v>
      </c>
      <c r="Y326" s="115">
        <f>$Y$327</f>
        <v>0</v>
      </c>
      <c r="AA326" s="116">
        <f>$AA$327</f>
        <v>0</v>
      </c>
      <c r="AR326" s="112" t="s">
        <v>102</v>
      </c>
      <c r="AT326" s="112" t="s">
        <v>75</v>
      </c>
      <c r="AU326" s="112" t="s">
        <v>17</v>
      </c>
      <c r="AY326" s="112" t="s">
        <v>160</v>
      </c>
      <c r="BK326" s="117">
        <f>$BK$327</f>
        <v>0</v>
      </c>
    </row>
    <row r="327" spans="2:64" s="6" customFormat="1" ht="27" customHeight="1">
      <c r="B327" s="21"/>
      <c r="C327" s="119" t="s">
        <v>532</v>
      </c>
      <c r="D327" s="119" t="s">
        <v>161</v>
      </c>
      <c r="E327" s="120" t="s">
        <v>533</v>
      </c>
      <c r="F327" s="194" t="s">
        <v>534</v>
      </c>
      <c r="G327" s="195"/>
      <c r="H327" s="195"/>
      <c r="I327" s="195"/>
      <c r="J327" s="121" t="s">
        <v>173</v>
      </c>
      <c r="K327" s="122">
        <v>26</v>
      </c>
      <c r="L327" s="196">
        <v>0</v>
      </c>
      <c r="M327" s="195"/>
      <c r="N327" s="197">
        <f>ROUND($L$327*$K$327,2)</f>
        <v>0</v>
      </c>
      <c r="O327" s="195"/>
      <c r="P327" s="195"/>
      <c r="Q327" s="195"/>
      <c r="R327" s="22"/>
      <c r="T327" s="123"/>
      <c r="U327" s="28" t="s">
        <v>41</v>
      </c>
      <c r="V327" s="124">
        <v>0.306</v>
      </c>
      <c r="W327" s="124">
        <f>$V$327*$K$327</f>
        <v>7.9559999999999995</v>
      </c>
      <c r="X327" s="124">
        <v>0</v>
      </c>
      <c r="Y327" s="124">
        <f>$X$327*$K$327</f>
        <v>0</v>
      </c>
      <c r="Z327" s="124">
        <v>0</v>
      </c>
      <c r="AA327" s="125">
        <f>$Z$327*$K$327</f>
        <v>0</v>
      </c>
      <c r="AR327" s="6" t="s">
        <v>221</v>
      </c>
      <c r="AT327" s="6" t="s">
        <v>161</v>
      </c>
      <c r="AU327" s="6" t="s">
        <v>102</v>
      </c>
      <c r="AY327" s="6" t="s">
        <v>160</v>
      </c>
      <c r="BE327" s="77">
        <f>IF($U$327="základní",$N$327,0)</f>
        <v>0</v>
      </c>
      <c r="BF327" s="77">
        <f>IF($U$327="snížená",$N$327,0)</f>
        <v>0</v>
      </c>
      <c r="BG327" s="77">
        <f>IF($U$327="zákl. přenesená",$N$327,0)</f>
        <v>0</v>
      </c>
      <c r="BH327" s="77">
        <f>IF($U$327="sníž. přenesená",$N$327,0)</f>
        <v>0</v>
      </c>
      <c r="BI327" s="77">
        <f>IF($U$327="nulová",$N$327,0)</f>
        <v>0</v>
      </c>
      <c r="BJ327" s="6" t="s">
        <v>17</v>
      </c>
      <c r="BK327" s="77">
        <f>ROUND($L$327*$K$327,2)</f>
        <v>0</v>
      </c>
      <c r="BL327" s="6" t="s">
        <v>221</v>
      </c>
    </row>
    <row r="328" spans="2:63" s="109" customFormat="1" ht="30.75" customHeight="1">
      <c r="B328" s="110"/>
      <c r="D328" s="118" t="s">
        <v>126</v>
      </c>
      <c r="N328" s="210">
        <f>$BK$328</f>
        <v>0</v>
      </c>
      <c r="O328" s="209"/>
      <c r="P328" s="209"/>
      <c r="Q328" s="209"/>
      <c r="R328" s="113"/>
      <c r="T328" s="114"/>
      <c r="W328" s="115">
        <f>SUM($W$329:$W$337)</f>
        <v>17.197344</v>
      </c>
      <c r="Y328" s="115">
        <f>SUM($Y$329:$Y$337)</f>
        <v>1.1043981300000003</v>
      </c>
      <c r="AA328" s="116">
        <f>SUM($AA$329:$AA$337)</f>
        <v>0</v>
      </c>
      <c r="AR328" s="112" t="s">
        <v>102</v>
      </c>
      <c r="AT328" s="112" t="s">
        <v>75</v>
      </c>
      <c r="AU328" s="112" t="s">
        <v>17</v>
      </c>
      <c r="AY328" s="112" t="s">
        <v>160</v>
      </c>
      <c r="BK328" s="117">
        <f>SUM($BK$329:$BK$337)</f>
        <v>0</v>
      </c>
    </row>
    <row r="329" spans="2:64" s="6" customFormat="1" ht="27" customHeight="1">
      <c r="B329" s="21"/>
      <c r="C329" s="119" t="s">
        <v>535</v>
      </c>
      <c r="D329" s="119" t="s">
        <v>161</v>
      </c>
      <c r="E329" s="120" t="s">
        <v>536</v>
      </c>
      <c r="F329" s="194" t="s">
        <v>537</v>
      </c>
      <c r="G329" s="195"/>
      <c r="H329" s="195"/>
      <c r="I329" s="195"/>
      <c r="J329" s="121" t="s">
        <v>173</v>
      </c>
      <c r="K329" s="122">
        <v>26</v>
      </c>
      <c r="L329" s="196">
        <v>0</v>
      </c>
      <c r="M329" s="195"/>
      <c r="N329" s="197">
        <f>ROUND($L$329*$K$329,2)</f>
        <v>0</v>
      </c>
      <c r="O329" s="195"/>
      <c r="P329" s="195"/>
      <c r="Q329" s="195"/>
      <c r="R329" s="22"/>
      <c r="T329" s="123"/>
      <c r="U329" s="28" t="s">
        <v>41</v>
      </c>
      <c r="V329" s="124">
        <v>0.654</v>
      </c>
      <c r="W329" s="124">
        <f>$V$329*$K$329</f>
        <v>17.004</v>
      </c>
      <c r="X329" s="124">
        <v>0</v>
      </c>
      <c r="Y329" s="124">
        <f>$X$329*$K$329</f>
        <v>0</v>
      </c>
      <c r="Z329" s="124">
        <v>0</v>
      </c>
      <c r="AA329" s="125">
        <f>$Z$329*$K$329</f>
        <v>0</v>
      </c>
      <c r="AR329" s="6" t="s">
        <v>221</v>
      </c>
      <c r="AT329" s="6" t="s">
        <v>161</v>
      </c>
      <c r="AU329" s="6" t="s">
        <v>102</v>
      </c>
      <c r="AY329" s="6" t="s">
        <v>160</v>
      </c>
      <c r="BE329" s="77">
        <f>IF($U$329="základní",$N$329,0)</f>
        <v>0</v>
      </c>
      <c r="BF329" s="77">
        <f>IF($U$329="snížená",$N$329,0)</f>
        <v>0</v>
      </c>
      <c r="BG329" s="77">
        <f>IF($U$329="zákl. přenesená",$N$329,0)</f>
        <v>0</v>
      </c>
      <c r="BH329" s="77">
        <f>IF($U$329="sníž. přenesená",$N$329,0)</f>
        <v>0</v>
      </c>
      <c r="BI329" s="77">
        <f>IF($U$329="nulová",$N$329,0)</f>
        <v>0</v>
      </c>
      <c r="BJ329" s="6" t="s">
        <v>17</v>
      </c>
      <c r="BK329" s="77">
        <f>ROUND($L$329*$K$329,2)</f>
        <v>0</v>
      </c>
      <c r="BL329" s="6" t="s">
        <v>221</v>
      </c>
    </row>
    <row r="330" spans="2:64" s="6" customFormat="1" ht="15.75" customHeight="1">
      <c r="B330" s="21"/>
      <c r="C330" s="138" t="s">
        <v>538</v>
      </c>
      <c r="D330" s="138" t="s">
        <v>276</v>
      </c>
      <c r="E330" s="139" t="s">
        <v>539</v>
      </c>
      <c r="F330" s="202" t="s">
        <v>540</v>
      </c>
      <c r="G330" s="203"/>
      <c r="H330" s="203"/>
      <c r="I330" s="203"/>
      <c r="J330" s="140" t="s">
        <v>176</v>
      </c>
      <c r="K330" s="141">
        <v>1.272</v>
      </c>
      <c r="L330" s="204">
        <v>0</v>
      </c>
      <c r="M330" s="203"/>
      <c r="N330" s="205">
        <f>ROUND($L$330*$K$330,2)</f>
        <v>0</v>
      </c>
      <c r="O330" s="195"/>
      <c r="P330" s="195"/>
      <c r="Q330" s="195"/>
      <c r="R330" s="22"/>
      <c r="T330" s="123"/>
      <c r="U330" s="28" t="s">
        <v>41</v>
      </c>
      <c r="V330" s="124">
        <v>0</v>
      </c>
      <c r="W330" s="124">
        <f>$V$330*$K$330</f>
        <v>0</v>
      </c>
      <c r="X330" s="124">
        <v>0.55</v>
      </c>
      <c r="Y330" s="124">
        <f>$X$330*$K$330</f>
        <v>0.6996000000000001</v>
      </c>
      <c r="Z330" s="124">
        <v>0</v>
      </c>
      <c r="AA330" s="125">
        <f>$Z$330*$K$330</f>
        <v>0</v>
      </c>
      <c r="AR330" s="6" t="s">
        <v>283</v>
      </c>
      <c r="AT330" s="6" t="s">
        <v>276</v>
      </c>
      <c r="AU330" s="6" t="s">
        <v>102</v>
      </c>
      <c r="AY330" s="6" t="s">
        <v>160</v>
      </c>
      <c r="BE330" s="77">
        <f>IF($U$330="základní",$N$330,0)</f>
        <v>0</v>
      </c>
      <c r="BF330" s="77">
        <f>IF($U$330="snížená",$N$330,0)</f>
        <v>0</v>
      </c>
      <c r="BG330" s="77">
        <f>IF($U$330="zákl. přenesená",$N$330,0)</f>
        <v>0</v>
      </c>
      <c r="BH330" s="77">
        <f>IF($U$330="sníž. přenesená",$N$330,0)</f>
        <v>0</v>
      </c>
      <c r="BI330" s="77">
        <f>IF($U$330="nulová",$N$330,0)</f>
        <v>0</v>
      </c>
      <c r="BJ330" s="6" t="s">
        <v>17</v>
      </c>
      <c r="BK330" s="77">
        <f>ROUND($L$330*$K$330,2)</f>
        <v>0</v>
      </c>
      <c r="BL330" s="6" t="s">
        <v>221</v>
      </c>
    </row>
    <row r="331" spans="2:51" s="6" customFormat="1" ht="15.75" customHeight="1">
      <c r="B331" s="126"/>
      <c r="E331" s="127"/>
      <c r="F331" s="198" t="s">
        <v>541</v>
      </c>
      <c r="G331" s="199"/>
      <c r="H331" s="199"/>
      <c r="I331" s="199"/>
      <c r="K331" s="128">
        <v>1.272</v>
      </c>
      <c r="R331" s="129"/>
      <c r="T331" s="130"/>
      <c r="AA331" s="131"/>
      <c r="AT331" s="127" t="s">
        <v>167</v>
      </c>
      <c r="AU331" s="127" t="s">
        <v>102</v>
      </c>
      <c r="AV331" s="127" t="s">
        <v>102</v>
      </c>
      <c r="AW331" s="127" t="s">
        <v>109</v>
      </c>
      <c r="AX331" s="127" t="s">
        <v>17</v>
      </c>
      <c r="AY331" s="127" t="s">
        <v>160</v>
      </c>
    </row>
    <row r="332" spans="2:64" s="6" customFormat="1" ht="39" customHeight="1">
      <c r="B332" s="21"/>
      <c r="C332" s="119" t="s">
        <v>542</v>
      </c>
      <c r="D332" s="119" t="s">
        <v>161</v>
      </c>
      <c r="E332" s="120" t="s">
        <v>543</v>
      </c>
      <c r="F332" s="194" t="s">
        <v>544</v>
      </c>
      <c r="G332" s="195"/>
      <c r="H332" s="195"/>
      <c r="I332" s="195"/>
      <c r="J332" s="121" t="s">
        <v>164</v>
      </c>
      <c r="K332" s="122">
        <v>1.272</v>
      </c>
      <c r="L332" s="196">
        <v>0</v>
      </c>
      <c r="M332" s="195"/>
      <c r="N332" s="197">
        <f>ROUND($L$332*$K$332,2)</f>
        <v>0</v>
      </c>
      <c r="O332" s="195"/>
      <c r="P332" s="195"/>
      <c r="Q332" s="195"/>
      <c r="R332" s="22"/>
      <c r="T332" s="123"/>
      <c r="U332" s="28" t="s">
        <v>41</v>
      </c>
      <c r="V332" s="124">
        <v>0.152</v>
      </c>
      <c r="W332" s="124">
        <f>$V$332*$K$332</f>
        <v>0.193344</v>
      </c>
      <c r="X332" s="124">
        <v>0</v>
      </c>
      <c r="Y332" s="124">
        <f>$X$332*$K$332</f>
        <v>0</v>
      </c>
      <c r="Z332" s="124">
        <v>0</v>
      </c>
      <c r="AA332" s="125">
        <f>$Z$332*$K$332</f>
        <v>0</v>
      </c>
      <c r="AR332" s="6" t="s">
        <v>221</v>
      </c>
      <c r="AT332" s="6" t="s">
        <v>161</v>
      </c>
      <c r="AU332" s="6" t="s">
        <v>102</v>
      </c>
      <c r="AY332" s="6" t="s">
        <v>160</v>
      </c>
      <c r="BE332" s="77">
        <f>IF($U$332="základní",$N$332,0)</f>
        <v>0</v>
      </c>
      <c r="BF332" s="77">
        <f>IF($U$332="snížená",$N$332,0)</f>
        <v>0</v>
      </c>
      <c r="BG332" s="77">
        <f>IF($U$332="zákl. přenesená",$N$332,0)</f>
        <v>0</v>
      </c>
      <c r="BH332" s="77">
        <f>IF($U$332="sníž. přenesená",$N$332,0)</f>
        <v>0</v>
      </c>
      <c r="BI332" s="77">
        <f>IF($U$332="nulová",$N$332,0)</f>
        <v>0</v>
      </c>
      <c r="BJ332" s="6" t="s">
        <v>17</v>
      </c>
      <c r="BK332" s="77">
        <f>ROUND($L$332*$K$332,2)</f>
        <v>0</v>
      </c>
      <c r="BL332" s="6" t="s">
        <v>221</v>
      </c>
    </row>
    <row r="333" spans="2:64" s="6" customFormat="1" ht="27" customHeight="1">
      <c r="B333" s="21"/>
      <c r="C333" s="138" t="s">
        <v>545</v>
      </c>
      <c r="D333" s="138" t="s">
        <v>276</v>
      </c>
      <c r="E333" s="139" t="s">
        <v>546</v>
      </c>
      <c r="F333" s="202" t="s">
        <v>547</v>
      </c>
      <c r="G333" s="203"/>
      <c r="H333" s="203"/>
      <c r="I333" s="203"/>
      <c r="J333" s="140" t="s">
        <v>176</v>
      </c>
      <c r="K333" s="141">
        <v>0.651</v>
      </c>
      <c r="L333" s="204">
        <v>0</v>
      </c>
      <c r="M333" s="203"/>
      <c r="N333" s="205">
        <f>ROUND($L$333*$K$333,2)</f>
        <v>0</v>
      </c>
      <c r="O333" s="195"/>
      <c r="P333" s="195"/>
      <c r="Q333" s="195"/>
      <c r="R333" s="22"/>
      <c r="T333" s="123"/>
      <c r="U333" s="28" t="s">
        <v>41</v>
      </c>
      <c r="V333" s="124">
        <v>0</v>
      </c>
      <c r="W333" s="124">
        <f>$V$333*$K$333</f>
        <v>0</v>
      </c>
      <c r="X333" s="124">
        <v>0.55</v>
      </c>
      <c r="Y333" s="124">
        <f>$X$333*$K$333</f>
        <v>0.35805000000000003</v>
      </c>
      <c r="Z333" s="124">
        <v>0</v>
      </c>
      <c r="AA333" s="125">
        <f>$Z$333*$K$333</f>
        <v>0</v>
      </c>
      <c r="AR333" s="6" t="s">
        <v>283</v>
      </c>
      <c r="AT333" s="6" t="s">
        <v>276</v>
      </c>
      <c r="AU333" s="6" t="s">
        <v>102</v>
      </c>
      <c r="AY333" s="6" t="s">
        <v>160</v>
      </c>
      <c r="BE333" s="77">
        <f>IF($U$333="základní",$N$333,0)</f>
        <v>0</v>
      </c>
      <c r="BF333" s="77">
        <f>IF($U$333="snížená",$N$333,0)</f>
        <v>0</v>
      </c>
      <c r="BG333" s="77">
        <f>IF($U$333="zákl. přenesená",$N$333,0)</f>
        <v>0</v>
      </c>
      <c r="BH333" s="77">
        <f>IF($U$333="sníž. přenesená",$N$333,0)</f>
        <v>0</v>
      </c>
      <c r="BI333" s="77">
        <f>IF($U$333="nulová",$N$333,0)</f>
        <v>0</v>
      </c>
      <c r="BJ333" s="6" t="s">
        <v>17</v>
      </c>
      <c r="BK333" s="77">
        <f>ROUND($L$333*$K$333,2)</f>
        <v>0</v>
      </c>
      <c r="BL333" s="6" t="s">
        <v>221</v>
      </c>
    </row>
    <row r="334" spans="2:51" s="6" customFormat="1" ht="15.75" customHeight="1">
      <c r="B334" s="126"/>
      <c r="E334" s="127"/>
      <c r="F334" s="198" t="s">
        <v>548</v>
      </c>
      <c r="G334" s="199"/>
      <c r="H334" s="199"/>
      <c r="I334" s="199"/>
      <c r="K334" s="128">
        <v>0.651</v>
      </c>
      <c r="R334" s="129"/>
      <c r="T334" s="130"/>
      <c r="AA334" s="131"/>
      <c r="AT334" s="127" t="s">
        <v>167</v>
      </c>
      <c r="AU334" s="127" t="s">
        <v>102</v>
      </c>
      <c r="AV334" s="127" t="s">
        <v>102</v>
      </c>
      <c r="AW334" s="127" t="s">
        <v>109</v>
      </c>
      <c r="AX334" s="127" t="s">
        <v>17</v>
      </c>
      <c r="AY334" s="127" t="s">
        <v>160</v>
      </c>
    </row>
    <row r="335" spans="2:64" s="6" customFormat="1" ht="27" customHeight="1">
      <c r="B335" s="21"/>
      <c r="C335" s="119" t="s">
        <v>549</v>
      </c>
      <c r="D335" s="119" t="s">
        <v>161</v>
      </c>
      <c r="E335" s="120" t="s">
        <v>550</v>
      </c>
      <c r="F335" s="194" t="s">
        <v>551</v>
      </c>
      <c r="G335" s="195"/>
      <c r="H335" s="195"/>
      <c r="I335" s="195"/>
      <c r="J335" s="121" t="s">
        <v>176</v>
      </c>
      <c r="K335" s="122">
        <v>1.923</v>
      </c>
      <c r="L335" s="196">
        <v>0</v>
      </c>
      <c r="M335" s="195"/>
      <c r="N335" s="197">
        <f>ROUND($L$335*$K$335,2)</f>
        <v>0</v>
      </c>
      <c r="O335" s="195"/>
      <c r="P335" s="195"/>
      <c r="Q335" s="195"/>
      <c r="R335" s="22"/>
      <c r="T335" s="123"/>
      <c r="U335" s="28" t="s">
        <v>41</v>
      </c>
      <c r="V335" s="124">
        <v>0</v>
      </c>
      <c r="W335" s="124">
        <f>$V$335*$K$335</f>
        <v>0</v>
      </c>
      <c r="X335" s="124">
        <v>0.02431</v>
      </c>
      <c r="Y335" s="124">
        <f>$X$335*$K$335</f>
        <v>0.04674813</v>
      </c>
      <c r="Z335" s="124">
        <v>0</v>
      </c>
      <c r="AA335" s="125">
        <f>$Z$335*$K$335</f>
        <v>0</v>
      </c>
      <c r="AR335" s="6" t="s">
        <v>221</v>
      </c>
      <c r="AT335" s="6" t="s">
        <v>161</v>
      </c>
      <c r="AU335" s="6" t="s">
        <v>102</v>
      </c>
      <c r="AY335" s="6" t="s">
        <v>160</v>
      </c>
      <c r="BE335" s="77">
        <f>IF($U$335="základní",$N$335,0)</f>
        <v>0</v>
      </c>
      <c r="BF335" s="77">
        <f>IF($U$335="snížená",$N$335,0)</f>
        <v>0</v>
      </c>
      <c r="BG335" s="77">
        <f>IF($U$335="zákl. přenesená",$N$335,0)</f>
        <v>0</v>
      </c>
      <c r="BH335" s="77">
        <f>IF($U$335="sníž. přenesená",$N$335,0)</f>
        <v>0</v>
      </c>
      <c r="BI335" s="77">
        <f>IF($U$335="nulová",$N$335,0)</f>
        <v>0</v>
      </c>
      <c r="BJ335" s="6" t="s">
        <v>17</v>
      </c>
      <c r="BK335" s="77">
        <f>ROUND($L$335*$K$335,2)</f>
        <v>0</v>
      </c>
      <c r="BL335" s="6" t="s">
        <v>221</v>
      </c>
    </row>
    <row r="336" spans="2:51" s="6" customFormat="1" ht="15.75" customHeight="1">
      <c r="B336" s="126"/>
      <c r="E336" s="127"/>
      <c r="F336" s="198" t="s">
        <v>552</v>
      </c>
      <c r="G336" s="199"/>
      <c r="H336" s="199"/>
      <c r="I336" s="199"/>
      <c r="K336" s="128">
        <v>1.923</v>
      </c>
      <c r="R336" s="129"/>
      <c r="T336" s="130"/>
      <c r="AA336" s="131"/>
      <c r="AT336" s="127" t="s">
        <v>167</v>
      </c>
      <c r="AU336" s="127" t="s">
        <v>102</v>
      </c>
      <c r="AV336" s="127" t="s">
        <v>102</v>
      </c>
      <c r="AW336" s="127" t="s">
        <v>109</v>
      </c>
      <c r="AX336" s="127" t="s">
        <v>17</v>
      </c>
      <c r="AY336" s="127" t="s">
        <v>160</v>
      </c>
    </row>
    <row r="337" spans="2:64" s="6" customFormat="1" ht="27" customHeight="1">
      <c r="B337" s="21"/>
      <c r="C337" s="119" t="s">
        <v>553</v>
      </c>
      <c r="D337" s="119" t="s">
        <v>161</v>
      </c>
      <c r="E337" s="120" t="s">
        <v>554</v>
      </c>
      <c r="F337" s="194" t="s">
        <v>555</v>
      </c>
      <c r="G337" s="195"/>
      <c r="H337" s="195"/>
      <c r="I337" s="195"/>
      <c r="J337" s="121" t="s">
        <v>472</v>
      </c>
      <c r="K337" s="142">
        <v>0</v>
      </c>
      <c r="L337" s="196">
        <v>0</v>
      </c>
      <c r="M337" s="195"/>
      <c r="N337" s="197">
        <f>ROUND($L$337*$K$337,2)</f>
        <v>0</v>
      </c>
      <c r="O337" s="195"/>
      <c r="P337" s="195"/>
      <c r="Q337" s="195"/>
      <c r="R337" s="22"/>
      <c r="T337" s="123"/>
      <c r="U337" s="28" t="s">
        <v>41</v>
      </c>
      <c r="V337" s="124">
        <v>0</v>
      </c>
      <c r="W337" s="124">
        <f>$V$337*$K$337</f>
        <v>0</v>
      </c>
      <c r="X337" s="124">
        <v>0</v>
      </c>
      <c r="Y337" s="124">
        <f>$X$337*$K$337</f>
        <v>0</v>
      </c>
      <c r="Z337" s="124">
        <v>0</v>
      </c>
      <c r="AA337" s="125">
        <f>$Z$337*$K$337</f>
        <v>0</v>
      </c>
      <c r="AR337" s="6" t="s">
        <v>221</v>
      </c>
      <c r="AT337" s="6" t="s">
        <v>161</v>
      </c>
      <c r="AU337" s="6" t="s">
        <v>102</v>
      </c>
      <c r="AY337" s="6" t="s">
        <v>160</v>
      </c>
      <c r="BE337" s="77">
        <f>IF($U$337="základní",$N$337,0)</f>
        <v>0</v>
      </c>
      <c r="BF337" s="77">
        <f>IF($U$337="snížená",$N$337,0)</f>
        <v>0</v>
      </c>
      <c r="BG337" s="77">
        <f>IF($U$337="zákl. přenesená",$N$337,0)</f>
        <v>0</v>
      </c>
      <c r="BH337" s="77">
        <f>IF($U$337="sníž. přenesená",$N$337,0)</f>
        <v>0</v>
      </c>
      <c r="BI337" s="77">
        <f>IF($U$337="nulová",$N$337,0)</f>
        <v>0</v>
      </c>
      <c r="BJ337" s="6" t="s">
        <v>17</v>
      </c>
      <c r="BK337" s="77">
        <f>ROUND($L$337*$K$337,2)</f>
        <v>0</v>
      </c>
      <c r="BL337" s="6" t="s">
        <v>221</v>
      </c>
    </row>
    <row r="338" spans="2:63" s="109" customFormat="1" ht="30.75" customHeight="1">
      <c r="B338" s="110"/>
      <c r="D338" s="118" t="s">
        <v>127</v>
      </c>
      <c r="N338" s="210">
        <f>$BK$338</f>
        <v>0</v>
      </c>
      <c r="O338" s="209"/>
      <c r="P338" s="209"/>
      <c r="Q338" s="209"/>
      <c r="R338" s="113"/>
      <c r="T338" s="114"/>
      <c r="W338" s="115">
        <f>SUM($W$339:$W$342)</f>
        <v>17.841599999999996</v>
      </c>
      <c r="Y338" s="115">
        <f>SUM($Y$339:$Y$342)</f>
        <v>0.221958</v>
      </c>
      <c r="AA338" s="116">
        <f>SUM($AA$339:$AA$342)</f>
        <v>0</v>
      </c>
      <c r="AR338" s="112" t="s">
        <v>102</v>
      </c>
      <c r="AT338" s="112" t="s">
        <v>75</v>
      </c>
      <c r="AU338" s="112" t="s">
        <v>17</v>
      </c>
      <c r="AY338" s="112" t="s">
        <v>160</v>
      </c>
      <c r="BK338" s="117">
        <f>SUM($BK$339:$BK$342)</f>
        <v>0</v>
      </c>
    </row>
    <row r="339" spans="2:64" s="6" customFormat="1" ht="27" customHeight="1">
      <c r="B339" s="21"/>
      <c r="C339" s="119" t="s">
        <v>556</v>
      </c>
      <c r="D339" s="119" t="s">
        <v>161</v>
      </c>
      <c r="E339" s="120" t="s">
        <v>557</v>
      </c>
      <c r="F339" s="194" t="s">
        <v>558</v>
      </c>
      <c r="G339" s="195"/>
      <c r="H339" s="195"/>
      <c r="I339" s="195"/>
      <c r="J339" s="121" t="s">
        <v>164</v>
      </c>
      <c r="K339" s="122">
        <v>17.7</v>
      </c>
      <c r="L339" s="196">
        <v>0</v>
      </c>
      <c r="M339" s="195"/>
      <c r="N339" s="197">
        <f>ROUND($L$339*$K$339,2)</f>
        <v>0</v>
      </c>
      <c r="O339" s="195"/>
      <c r="P339" s="195"/>
      <c r="Q339" s="195"/>
      <c r="R339" s="22"/>
      <c r="T339" s="123"/>
      <c r="U339" s="28" t="s">
        <v>41</v>
      </c>
      <c r="V339" s="124">
        <v>0.968</v>
      </c>
      <c r="W339" s="124">
        <f>$V$339*$K$339</f>
        <v>17.133599999999998</v>
      </c>
      <c r="X339" s="124">
        <v>0.01244</v>
      </c>
      <c r="Y339" s="124">
        <f>$X$339*$K$339</f>
        <v>0.220188</v>
      </c>
      <c r="Z339" s="124">
        <v>0</v>
      </c>
      <c r="AA339" s="125">
        <f>$Z$339*$K$339</f>
        <v>0</v>
      </c>
      <c r="AR339" s="6" t="s">
        <v>221</v>
      </c>
      <c r="AT339" s="6" t="s">
        <v>161</v>
      </c>
      <c r="AU339" s="6" t="s">
        <v>102</v>
      </c>
      <c r="AY339" s="6" t="s">
        <v>160</v>
      </c>
      <c r="BE339" s="77">
        <f>IF($U$339="základní",$N$339,0)</f>
        <v>0</v>
      </c>
      <c r="BF339" s="77">
        <f>IF($U$339="snížená",$N$339,0)</f>
        <v>0</v>
      </c>
      <c r="BG339" s="77">
        <f>IF($U$339="zákl. přenesená",$N$339,0)</f>
        <v>0</v>
      </c>
      <c r="BH339" s="77">
        <f>IF($U$339="sníž. přenesená",$N$339,0)</f>
        <v>0</v>
      </c>
      <c r="BI339" s="77">
        <f>IF($U$339="nulová",$N$339,0)</f>
        <v>0</v>
      </c>
      <c r="BJ339" s="6" t="s">
        <v>17</v>
      </c>
      <c r="BK339" s="77">
        <f>ROUND($L$339*$K$339,2)</f>
        <v>0</v>
      </c>
      <c r="BL339" s="6" t="s">
        <v>221</v>
      </c>
    </row>
    <row r="340" spans="2:51" s="6" customFormat="1" ht="15.75" customHeight="1">
      <c r="B340" s="126"/>
      <c r="E340" s="127"/>
      <c r="F340" s="198" t="s">
        <v>559</v>
      </c>
      <c r="G340" s="199"/>
      <c r="H340" s="199"/>
      <c r="I340" s="199"/>
      <c r="K340" s="128">
        <v>17.7</v>
      </c>
      <c r="R340" s="129"/>
      <c r="T340" s="130"/>
      <c r="AA340" s="131"/>
      <c r="AT340" s="127" t="s">
        <v>167</v>
      </c>
      <c r="AU340" s="127" t="s">
        <v>102</v>
      </c>
      <c r="AV340" s="127" t="s">
        <v>102</v>
      </c>
      <c r="AW340" s="127" t="s">
        <v>109</v>
      </c>
      <c r="AX340" s="127" t="s">
        <v>17</v>
      </c>
      <c r="AY340" s="127" t="s">
        <v>160</v>
      </c>
    </row>
    <row r="341" spans="2:64" s="6" customFormat="1" ht="15.75" customHeight="1">
      <c r="B341" s="21"/>
      <c r="C341" s="119" t="s">
        <v>560</v>
      </c>
      <c r="D341" s="119" t="s">
        <v>161</v>
      </c>
      <c r="E341" s="120" t="s">
        <v>561</v>
      </c>
      <c r="F341" s="194" t="s">
        <v>562</v>
      </c>
      <c r="G341" s="195"/>
      <c r="H341" s="195"/>
      <c r="I341" s="195"/>
      <c r="J341" s="121" t="s">
        <v>164</v>
      </c>
      <c r="K341" s="122">
        <v>17.7</v>
      </c>
      <c r="L341" s="196">
        <v>0</v>
      </c>
      <c r="M341" s="195"/>
      <c r="N341" s="197">
        <f>ROUND($L$341*$K$341,2)</f>
        <v>0</v>
      </c>
      <c r="O341" s="195"/>
      <c r="P341" s="195"/>
      <c r="Q341" s="195"/>
      <c r="R341" s="22"/>
      <c r="T341" s="123"/>
      <c r="U341" s="28" t="s">
        <v>41</v>
      </c>
      <c r="V341" s="124">
        <v>0.04</v>
      </c>
      <c r="W341" s="124">
        <f>$V$341*$K$341</f>
        <v>0.708</v>
      </c>
      <c r="X341" s="124">
        <v>0.0001</v>
      </c>
      <c r="Y341" s="124">
        <f>$X$341*$K$341</f>
        <v>0.00177</v>
      </c>
      <c r="Z341" s="124">
        <v>0</v>
      </c>
      <c r="AA341" s="125">
        <f>$Z$341*$K$341</f>
        <v>0</v>
      </c>
      <c r="AR341" s="6" t="s">
        <v>221</v>
      </c>
      <c r="AT341" s="6" t="s">
        <v>161</v>
      </c>
      <c r="AU341" s="6" t="s">
        <v>102</v>
      </c>
      <c r="AY341" s="6" t="s">
        <v>160</v>
      </c>
      <c r="BE341" s="77">
        <f>IF($U$341="základní",$N$341,0)</f>
        <v>0</v>
      </c>
      <c r="BF341" s="77">
        <f>IF($U$341="snížená",$N$341,0)</f>
        <v>0</v>
      </c>
      <c r="BG341" s="77">
        <f>IF($U$341="zákl. přenesená",$N$341,0)</f>
        <v>0</v>
      </c>
      <c r="BH341" s="77">
        <f>IF($U$341="sníž. přenesená",$N$341,0)</f>
        <v>0</v>
      </c>
      <c r="BI341" s="77">
        <f>IF($U$341="nulová",$N$341,0)</f>
        <v>0</v>
      </c>
      <c r="BJ341" s="6" t="s">
        <v>17</v>
      </c>
      <c r="BK341" s="77">
        <f>ROUND($L$341*$K$341,2)</f>
        <v>0</v>
      </c>
      <c r="BL341" s="6" t="s">
        <v>221</v>
      </c>
    </row>
    <row r="342" spans="2:64" s="6" customFormat="1" ht="27" customHeight="1">
      <c r="B342" s="21"/>
      <c r="C342" s="119" t="s">
        <v>563</v>
      </c>
      <c r="D342" s="119" t="s">
        <v>161</v>
      </c>
      <c r="E342" s="120" t="s">
        <v>564</v>
      </c>
      <c r="F342" s="194" t="s">
        <v>565</v>
      </c>
      <c r="G342" s="195"/>
      <c r="H342" s="195"/>
      <c r="I342" s="195"/>
      <c r="J342" s="121" t="s">
        <v>472</v>
      </c>
      <c r="K342" s="142">
        <v>0</v>
      </c>
      <c r="L342" s="196">
        <v>0</v>
      </c>
      <c r="M342" s="195"/>
      <c r="N342" s="197">
        <f>ROUND($L$342*$K$342,2)</f>
        <v>0</v>
      </c>
      <c r="O342" s="195"/>
      <c r="P342" s="195"/>
      <c r="Q342" s="195"/>
      <c r="R342" s="22"/>
      <c r="T342" s="123"/>
      <c r="U342" s="28" t="s">
        <v>41</v>
      </c>
      <c r="V342" s="124">
        <v>0</v>
      </c>
      <c r="W342" s="124">
        <f>$V$342*$K$342</f>
        <v>0</v>
      </c>
      <c r="X342" s="124">
        <v>0</v>
      </c>
      <c r="Y342" s="124">
        <f>$X$342*$K$342</f>
        <v>0</v>
      </c>
      <c r="Z342" s="124">
        <v>0</v>
      </c>
      <c r="AA342" s="125">
        <f>$Z$342*$K$342</f>
        <v>0</v>
      </c>
      <c r="AR342" s="6" t="s">
        <v>221</v>
      </c>
      <c r="AT342" s="6" t="s">
        <v>161</v>
      </c>
      <c r="AU342" s="6" t="s">
        <v>102</v>
      </c>
      <c r="AY342" s="6" t="s">
        <v>160</v>
      </c>
      <c r="BE342" s="77">
        <f>IF($U$342="základní",$N$342,0)</f>
        <v>0</v>
      </c>
      <c r="BF342" s="77">
        <f>IF($U$342="snížená",$N$342,0)</f>
        <v>0</v>
      </c>
      <c r="BG342" s="77">
        <f>IF($U$342="zákl. přenesená",$N$342,0)</f>
        <v>0</v>
      </c>
      <c r="BH342" s="77">
        <f>IF($U$342="sníž. přenesená",$N$342,0)</f>
        <v>0</v>
      </c>
      <c r="BI342" s="77">
        <f>IF($U$342="nulová",$N$342,0)</f>
        <v>0</v>
      </c>
      <c r="BJ342" s="6" t="s">
        <v>17</v>
      </c>
      <c r="BK342" s="77">
        <f>ROUND($L$342*$K$342,2)</f>
        <v>0</v>
      </c>
      <c r="BL342" s="6" t="s">
        <v>221</v>
      </c>
    </row>
    <row r="343" spans="2:63" s="109" customFormat="1" ht="30.75" customHeight="1">
      <c r="B343" s="110"/>
      <c r="D343" s="118" t="s">
        <v>128</v>
      </c>
      <c r="N343" s="210">
        <f>$BK$343</f>
        <v>0</v>
      </c>
      <c r="O343" s="209"/>
      <c r="P343" s="209"/>
      <c r="Q343" s="209"/>
      <c r="R343" s="113"/>
      <c r="T343" s="114"/>
      <c r="W343" s="115">
        <f>SUM($W$344:$W$352)</f>
        <v>11.598099999999999</v>
      </c>
      <c r="Y343" s="115">
        <f>SUM($Y$344:$Y$352)</f>
        <v>0.077379</v>
      </c>
      <c r="AA343" s="116">
        <f>SUM($AA$344:$AA$352)</f>
        <v>0</v>
      </c>
      <c r="AR343" s="112" t="s">
        <v>102</v>
      </c>
      <c r="AT343" s="112" t="s">
        <v>75</v>
      </c>
      <c r="AU343" s="112" t="s">
        <v>17</v>
      </c>
      <c r="AY343" s="112" t="s">
        <v>160</v>
      </c>
      <c r="BK343" s="117">
        <f>SUM($BK$344:$BK$352)</f>
        <v>0</v>
      </c>
    </row>
    <row r="344" spans="2:64" s="6" customFormat="1" ht="15.75" customHeight="1">
      <c r="B344" s="21"/>
      <c r="C344" s="119" t="s">
        <v>566</v>
      </c>
      <c r="D344" s="119" t="s">
        <v>161</v>
      </c>
      <c r="E344" s="120" t="s">
        <v>567</v>
      </c>
      <c r="F344" s="194" t="s">
        <v>568</v>
      </c>
      <c r="G344" s="195"/>
      <c r="H344" s="195"/>
      <c r="I344" s="195"/>
      <c r="J344" s="121" t="s">
        <v>173</v>
      </c>
      <c r="K344" s="122">
        <v>15.35</v>
      </c>
      <c r="L344" s="196">
        <v>0</v>
      </c>
      <c r="M344" s="195"/>
      <c r="N344" s="197">
        <f>ROUND($L$344*$K$344,2)</f>
        <v>0</v>
      </c>
      <c r="O344" s="195"/>
      <c r="P344" s="195"/>
      <c r="Q344" s="195"/>
      <c r="R344" s="22"/>
      <c r="T344" s="123"/>
      <c r="U344" s="28" t="s">
        <v>41</v>
      </c>
      <c r="V344" s="124">
        <v>0.374</v>
      </c>
      <c r="W344" s="124">
        <f>$V$344*$K$344</f>
        <v>5.7409</v>
      </c>
      <c r="X344" s="124">
        <v>0.0027</v>
      </c>
      <c r="Y344" s="124">
        <f>$X$344*$K$344</f>
        <v>0.041445</v>
      </c>
      <c r="Z344" s="124">
        <v>0</v>
      </c>
      <c r="AA344" s="125">
        <f>$Z$344*$K$344</f>
        <v>0</v>
      </c>
      <c r="AR344" s="6" t="s">
        <v>221</v>
      </c>
      <c r="AT344" s="6" t="s">
        <v>161</v>
      </c>
      <c r="AU344" s="6" t="s">
        <v>102</v>
      </c>
      <c r="AY344" s="6" t="s">
        <v>160</v>
      </c>
      <c r="BE344" s="77">
        <f>IF($U$344="základní",$N$344,0)</f>
        <v>0</v>
      </c>
      <c r="BF344" s="77">
        <f>IF($U$344="snížená",$N$344,0)</f>
        <v>0</v>
      </c>
      <c r="BG344" s="77">
        <f>IF($U$344="zákl. přenesená",$N$344,0)</f>
        <v>0</v>
      </c>
      <c r="BH344" s="77">
        <f>IF($U$344="sníž. přenesená",$N$344,0)</f>
        <v>0</v>
      </c>
      <c r="BI344" s="77">
        <f>IF($U$344="nulová",$N$344,0)</f>
        <v>0</v>
      </c>
      <c r="BJ344" s="6" t="s">
        <v>17</v>
      </c>
      <c r="BK344" s="77">
        <f>ROUND($L$344*$K$344,2)</f>
        <v>0</v>
      </c>
      <c r="BL344" s="6" t="s">
        <v>221</v>
      </c>
    </row>
    <row r="345" spans="2:51" s="6" customFormat="1" ht="15.75" customHeight="1">
      <c r="B345" s="126"/>
      <c r="E345" s="127"/>
      <c r="F345" s="198" t="s">
        <v>569</v>
      </c>
      <c r="G345" s="199"/>
      <c r="H345" s="199"/>
      <c r="I345" s="199"/>
      <c r="K345" s="128">
        <v>15.35</v>
      </c>
      <c r="R345" s="129"/>
      <c r="T345" s="130"/>
      <c r="AA345" s="131"/>
      <c r="AT345" s="127" t="s">
        <v>167</v>
      </c>
      <c r="AU345" s="127" t="s">
        <v>102</v>
      </c>
      <c r="AV345" s="127" t="s">
        <v>102</v>
      </c>
      <c r="AW345" s="127" t="s">
        <v>109</v>
      </c>
      <c r="AX345" s="127" t="s">
        <v>17</v>
      </c>
      <c r="AY345" s="127" t="s">
        <v>160</v>
      </c>
    </row>
    <row r="346" spans="2:64" s="6" customFormat="1" ht="15.75" customHeight="1">
      <c r="B346" s="21"/>
      <c r="C346" s="119" t="s">
        <v>570</v>
      </c>
      <c r="D346" s="119" t="s">
        <v>161</v>
      </c>
      <c r="E346" s="120" t="s">
        <v>571</v>
      </c>
      <c r="F346" s="194" t="s">
        <v>572</v>
      </c>
      <c r="G346" s="195"/>
      <c r="H346" s="195"/>
      <c r="I346" s="195"/>
      <c r="J346" s="121" t="s">
        <v>213</v>
      </c>
      <c r="K346" s="122">
        <v>1</v>
      </c>
      <c r="L346" s="196">
        <v>0</v>
      </c>
      <c r="M346" s="195"/>
      <c r="N346" s="197">
        <f>ROUND($L$346*$K$346,2)</f>
        <v>0</v>
      </c>
      <c r="O346" s="195"/>
      <c r="P346" s="195"/>
      <c r="Q346" s="195"/>
      <c r="R346" s="22"/>
      <c r="T346" s="123"/>
      <c r="U346" s="28" t="s">
        <v>41</v>
      </c>
      <c r="V346" s="124">
        <v>0.426</v>
      </c>
      <c r="W346" s="124">
        <f>$V$346*$K$346</f>
        <v>0.426</v>
      </c>
      <c r="X346" s="124">
        <v>0.00188</v>
      </c>
      <c r="Y346" s="124">
        <f>$X$346*$K$346</f>
        <v>0.00188</v>
      </c>
      <c r="Z346" s="124">
        <v>0</v>
      </c>
      <c r="AA346" s="125">
        <f>$Z$346*$K$346</f>
        <v>0</v>
      </c>
      <c r="AR346" s="6" t="s">
        <v>221</v>
      </c>
      <c r="AT346" s="6" t="s">
        <v>161</v>
      </c>
      <c r="AU346" s="6" t="s">
        <v>102</v>
      </c>
      <c r="AY346" s="6" t="s">
        <v>160</v>
      </c>
      <c r="BE346" s="77">
        <f>IF($U$346="základní",$N$346,0)</f>
        <v>0</v>
      </c>
      <c r="BF346" s="77">
        <f>IF($U$346="snížená",$N$346,0)</f>
        <v>0</v>
      </c>
      <c r="BG346" s="77">
        <f>IF($U$346="zákl. přenesená",$N$346,0)</f>
        <v>0</v>
      </c>
      <c r="BH346" s="77">
        <f>IF($U$346="sníž. přenesená",$N$346,0)</f>
        <v>0</v>
      </c>
      <c r="BI346" s="77">
        <f>IF($U$346="nulová",$N$346,0)</f>
        <v>0</v>
      </c>
      <c r="BJ346" s="6" t="s">
        <v>17</v>
      </c>
      <c r="BK346" s="77">
        <f>ROUND($L$346*$K$346,2)</f>
        <v>0</v>
      </c>
      <c r="BL346" s="6" t="s">
        <v>221</v>
      </c>
    </row>
    <row r="347" spans="2:64" s="6" customFormat="1" ht="15.75" customHeight="1">
      <c r="B347" s="21"/>
      <c r="C347" s="119" t="s">
        <v>573</v>
      </c>
      <c r="D347" s="119" t="s">
        <v>161</v>
      </c>
      <c r="E347" s="120" t="s">
        <v>574</v>
      </c>
      <c r="F347" s="194" t="s">
        <v>575</v>
      </c>
      <c r="G347" s="195"/>
      <c r="H347" s="195"/>
      <c r="I347" s="195"/>
      <c r="J347" s="121" t="s">
        <v>173</v>
      </c>
      <c r="K347" s="122">
        <v>9.4</v>
      </c>
      <c r="L347" s="196">
        <v>0</v>
      </c>
      <c r="M347" s="195"/>
      <c r="N347" s="197">
        <f>ROUND($L$347*$K$347,2)</f>
        <v>0</v>
      </c>
      <c r="O347" s="195"/>
      <c r="P347" s="195"/>
      <c r="Q347" s="195"/>
      <c r="R347" s="22"/>
      <c r="T347" s="123"/>
      <c r="U347" s="28" t="s">
        <v>41</v>
      </c>
      <c r="V347" s="124">
        <v>0.253</v>
      </c>
      <c r="W347" s="124">
        <f>$V$347*$K$347</f>
        <v>2.3782</v>
      </c>
      <c r="X347" s="124">
        <v>0.00202</v>
      </c>
      <c r="Y347" s="124">
        <f>$X$347*$K$347</f>
        <v>0.018988</v>
      </c>
      <c r="Z347" s="124">
        <v>0</v>
      </c>
      <c r="AA347" s="125">
        <f>$Z$347*$K$347</f>
        <v>0</v>
      </c>
      <c r="AR347" s="6" t="s">
        <v>221</v>
      </c>
      <c r="AT347" s="6" t="s">
        <v>161</v>
      </c>
      <c r="AU347" s="6" t="s">
        <v>102</v>
      </c>
      <c r="AY347" s="6" t="s">
        <v>160</v>
      </c>
      <c r="BE347" s="77">
        <f>IF($U$347="základní",$N$347,0)</f>
        <v>0</v>
      </c>
      <c r="BF347" s="77">
        <f>IF($U$347="snížená",$N$347,0)</f>
        <v>0</v>
      </c>
      <c r="BG347" s="77">
        <f>IF($U$347="zákl. přenesená",$N$347,0)</f>
        <v>0</v>
      </c>
      <c r="BH347" s="77">
        <f>IF($U$347="sníž. přenesená",$N$347,0)</f>
        <v>0</v>
      </c>
      <c r="BI347" s="77">
        <f>IF($U$347="nulová",$N$347,0)</f>
        <v>0</v>
      </c>
      <c r="BJ347" s="6" t="s">
        <v>17</v>
      </c>
      <c r="BK347" s="77">
        <f>ROUND($L$347*$K$347,2)</f>
        <v>0</v>
      </c>
      <c r="BL347" s="6" t="s">
        <v>221</v>
      </c>
    </row>
    <row r="348" spans="2:51" s="6" customFormat="1" ht="15.75" customHeight="1">
      <c r="B348" s="126"/>
      <c r="E348" s="127"/>
      <c r="F348" s="198" t="s">
        <v>576</v>
      </c>
      <c r="G348" s="199"/>
      <c r="H348" s="199"/>
      <c r="I348" s="199"/>
      <c r="K348" s="128">
        <v>9.4</v>
      </c>
      <c r="R348" s="129"/>
      <c r="T348" s="130"/>
      <c r="AA348" s="131"/>
      <c r="AT348" s="127" t="s">
        <v>167</v>
      </c>
      <c r="AU348" s="127" t="s">
        <v>102</v>
      </c>
      <c r="AV348" s="127" t="s">
        <v>102</v>
      </c>
      <c r="AW348" s="127" t="s">
        <v>109</v>
      </c>
      <c r="AX348" s="127" t="s">
        <v>17</v>
      </c>
      <c r="AY348" s="127" t="s">
        <v>160</v>
      </c>
    </row>
    <row r="349" spans="2:64" s="6" customFormat="1" ht="27" customHeight="1">
      <c r="B349" s="21"/>
      <c r="C349" s="119" t="s">
        <v>577</v>
      </c>
      <c r="D349" s="119" t="s">
        <v>161</v>
      </c>
      <c r="E349" s="120" t="s">
        <v>578</v>
      </c>
      <c r="F349" s="194" t="s">
        <v>579</v>
      </c>
      <c r="G349" s="195"/>
      <c r="H349" s="195"/>
      <c r="I349" s="195"/>
      <c r="J349" s="121" t="s">
        <v>173</v>
      </c>
      <c r="K349" s="122">
        <v>4.3</v>
      </c>
      <c r="L349" s="196">
        <v>0</v>
      </c>
      <c r="M349" s="195"/>
      <c r="N349" s="197">
        <f>ROUND($L$349*$K$349,2)</f>
        <v>0</v>
      </c>
      <c r="O349" s="195"/>
      <c r="P349" s="195"/>
      <c r="Q349" s="195"/>
      <c r="R349" s="22"/>
      <c r="T349" s="123"/>
      <c r="U349" s="28" t="s">
        <v>41</v>
      </c>
      <c r="V349" s="124">
        <v>0.27</v>
      </c>
      <c r="W349" s="124">
        <f>$V$349*$K$349</f>
        <v>1.161</v>
      </c>
      <c r="X349" s="124">
        <v>0.00102</v>
      </c>
      <c r="Y349" s="124">
        <f>$X$349*$K$349</f>
        <v>0.004386</v>
      </c>
      <c r="Z349" s="124">
        <v>0</v>
      </c>
      <c r="AA349" s="125">
        <f>$Z$349*$K$349</f>
        <v>0</v>
      </c>
      <c r="AR349" s="6" t="s">
        <v>221</v>
      </c>
      <c r="AT349" s="6" t="s">
        <v>161</v>
      </c>
      <c r="AU349" s="6" t="s">
        <v>102</v>
      </c>
      <c r="AY349" s="6" t="s">
        <v>160</v>
      </c>
      <c r="BE349" s="77">
        <f>IF($U$349="základní",$N$349,0)</f>
        <v>0</v>
      </c>
      <c r="BF349" s="77">
        <f>IF($U$349="snížená",$N$349,0)</f>
        <v>0</v>
      </c>
      <c r="BG349" s="77">
        <f>IF($U$349="zákl. přenesená",$N$349,0)</f>
        <v>0</v>
      </c>
      <c r="BH349" s="77">
        <f>IF($U$349="sníž. přenesená",$N$349,0)</f>
        <v>0</v>
      </c>
      <c r="BI349" s="77">
        <f>IF($U$349="nulová",$N$349,0)</f>
        <v>0</v>
      </c>
      <c r="BJ349" s="6" t="s">
        <v>17</v>
      </c>
      <c r="BK349" s="77">
        <f>ROUND($L$349*$K$349,2)</f>
        <v>0</v>
      </c>
      <c r="BL349" s="6" t="s">
        <v>221</v>
      </c>
    </row>
    <row r="350" spans="2:51" s="6" customFormat="1" ht="15.75" customHeight="1">
      <c r="B350" s="126"/>
      <c r="E350" s="127"/>
      <c r="F350" s="198" t="s">
        <v>580</v>
      </c>
      <c r="G350" s="199"/>
      <c r="H350" s="199"/>
      <c r="I350" s="199"/>
      <c r="K350" s="128">
        <v>4.3</v>
      </c>
      <c r="R350" s="129"/>
      <c r="T350" s="130"/>
      <c r="AA350" s="131"/>
      <c r="AT350" s="127" t="s">
        <v>167</v>
      </c>
      <c r="AU350" s="127" t="s">
        <v>102</v>
      </c>
      <c r="AV350" s="127" t="s">
        <v>102</v>
      </c>
      <c r="AW350" s="127" t="s">
        <v>109</v>
      </c>
      <c r="AX350" s="127" t="s">
        <v>17</v>
      </c>
      <c r="AY350" s="127" t="s">
        <v>160</v>
      </c>
    </row>
    <row r="351" spans="2:64" s="6" customFormat="1" ht="15.75" customHeight="1">
      <c r="B351" s="21"/>
      <c r="C351" s="119" t="s">
        <v>581</v>
      </c>
      <c r="D351" s="119" t="s">
        <v>161</v>
      </c>
      <c r="E351" s="120" t="s">
        <v>582</v>
      </c>
      <c r="F351" s="194" t="s">
        <v>583</v>
      </c>
      <c r="G351" s="195"/>
      <c r="H351" s="195"/>
      <c r="I351" s="195"/>
      <c r="J351" s="121" t="s">
        <v>173</v>
      </c>
      <c r="K351" s="122">
        <v>4</v>
      </c>
      <c r="L351" s="196">
        <v>0</v>
      </c>
      <c r="M351" s="195"/>
      <c r="N351" s="197">
        <f>ROUND($L$351*$K$351,2)</f>
        <v>0</v>
      </c>
      <c r="O351" s="195"/>
      <c r="P351" s="195"/>
      <c r="Q351" s="195"/>
      <c r="R351" s="22"/>
      <c r="T351" s="123"/>
      <c r="U351" s="28" t="s">
        <v>41</v>
      </c>
      <c r="V351" s="124">
        <v>0.473</v>
      </c>
      <c r="W351" s="124">
        <f>$V$351*$K$351</f>
        <v>1.892</v>
      </c>
      <c r="X351" s="124">
        <v>0.00267</v>
      </c>
      <c r="Y351" s="124">
        <f>$X$351*$K$351</f>
        <v>0.01068</v>
      </c>
      <c r="Z351" s="124">
        <v>0</v>
      </c>
      <c r="AA351" s="125">
        <f>$Z$351*$K$351</f>
        <v>0</v>
      </c>
      <c r="AR351" s="6" t="s">
        <v>221</v>
      </c>
      <c r="AT351" s="6" t="s">
        <v>161</v>
      </c>
      <c r="AU351" s="6" t="s">
        <v>102</v>
      </c>
      <c r="AY351" s="6" t="s">
        <v>160</v>
      </c>
      <c r="BE351" s="77">
        <f>IF($U$351="základní",$N$351,0)</f>
        <v>0</v>
      </c>
      <c r="BF351" s="77">
        <f>IF($U$351="snížená",$N$351,0)</f>
        <v>0</v>
      </c>
      <c r="BG351" s="77">
        <f>IF($U$351="zákl. přenesená",$N$351,0)</f>
        <v>0</v>
      </c>
      <c r="BH351" s="77">
        <f>IF($U$351="sníž. přenesená",$N$351,0)</f>
        <v>0</v>
      </c>
      <c r="BI351" s="77">
        <f>IF($U$351="nulová",$N$351,0)</f>
        <v>0</v>
      </c>
      <c r="BJ351" s="6" t="s">
        <v>17</v>
      </c>
      <c r="BK351" s="77">
        <f>ROUND($L$351*$K$351,2)</f>
        <v>0</v>
      </c>
      <c r="BL351" s="6" t="s">
        <v>221</v>
      </c>
    </row>
    <row r="352" spans="2:64" s="6" customFormat="1" ht="27" customHeight="1">
      <c r="B352" s="21"/>
      <c r="C352" s="119" t="s">
        <v>584</v>
      </c>
      <c r="D352" s="119" t="s">
        <v>161</v>
      </c>
      <c r="E352" s="120" t="s">
        <v>585</v>
      </c>
      <c r="F352" s="194" t="s">
        <v>586</v>
      </c>
      <c r="G352" s="195"/>
      <c r="H352" s="195"/>
      <c r="I352" s="195"/>
      <c r="J352" s="121" t="s">
        <v>472</v>
      </c>
      <c r="K352" s="142">
        <v>0</v>
      </c>
      <c r="L352" s="196">
        <v>0</v>
      </c>
      <c r="M352" s="195"/>
      <c r="N352" s="197">
        <f>ROUND($L$352*$K$352,2)</f>
        <v>0</v>
      </c>
      <c r="O352" s="195"/>
      <c r="P352" s="195"/>
      <c r="Q352" s="195"/>
      <c r="R352" s="22"/>
      <c r="T352" s="123"/>
      <c r="U352" s="28" t="s">
        <v>41</v>
      </c>
      <c r="V352" s="124">
        <v>0</v>
      </c>
      <c r="W352" s="124">
        <f>$V$352*$K$352</f>
        <v>0</v>
      </c>
      <c r="X352" s="124">
        <v>0</v>
      </c>
      <c r="Y352" s="124">
        <f>$X$352*$K$352</f>
        <v>0</v>
      </c>
      <c r="Z352" s="124">
        <v>0</v>
      </c>
      <c r="AA352" s="125">
        <f>$Z$352*$K$352</f>
        <v>0</v>
      </c>
      <c r="AR352" s="6" t="s">
        <v>221</v>
      </c>
      <c r="AT352" s="6" t="s">
        <v>161</v>
      </c>
      <c r="AU352" s="6" t="s">
        <v>102</v>
      </c>
      <c r="AY352" s="6" t="s">
        <v>160</v>
      </c>
      <c r="BE352" s="77">
        <f>IF($U$352="základní",$N$352,0)</f>
        <v>0</v>
      </c>
      <c r="BF352" s="77">
        <f>IF($U$352="snížená",$N$352,0)</f>
        <v>0</v>
      </c>
      <c r="BG352" s="77">
        <f>IF($U$352="zákl. přenesená",$N$352,0)</f>
        <v>0</v>
      </c>
      <c r="BH352" s="77">
        <f>IF($U$352="sníž. přenesená",$N$352,0)</f>
        <v>0</v>
      </c>
      <c r="BI352" s="77">
        <f>IF($U$352="nulová",$N$352,0)</f>
        <v>0</v>
      </c>
      <c r="BJ352" s="6" t="s">
        <v>17</v>
      </c>
      <c r="BK352" s="77">
        <f>ROUND($L$352*$K$352,2)</f>
        <v>0</v>
      </c>
      <c r="BL352" s="6" t="s">
        <v>221</v>
      </c>
    </row>
    <row r="353" spans="2:63" s="109" customFormat="1" ht="30.75" customHeight="1">
      <c r="B353" s="110"/>
      <c r="D353" s="118" t="s">
        <v>129</v>
      </c>
      <c r="N353" s="210">
        <f>$BK$353</f>
        <v>0</v>
      </c>
      <c r="O353" s="209"/>
      <c r="P353" s="209"/>
      <c r="Q353" s="209"/>
      <c r="R353" s="113"/>
      <c r="T353" s="114"/>
      <c r="W353" s="115">
        <f>SUM($W$354:$W$356)</f>
        <v>15.950499999999998</v>
      </c>
      <c r="Y353" s="115">
        <f>SUM($Y$354:$Y$356)</f>
        <v>1.4039798000000001</v>
      </c>
      <c r="AA353" s="116">
        <f>SUM($AA$354:$AA$356)</f>
        <v>0</v>
      </c>
      <c r="AR353" s="112" t="s">
        <v>102</v>
      </c>
      <c r="AT353" s="112" t="s">
        <v>75</v>
      </c>
      <c r="AU353" s="112" t="s">
        <v>17</v>
      </c>
      <c r="AY353" s="112" t="s">
        <v>160</v>
      </c>
      <c r="BK353" s="117">
        <f>SUM($BK$354:$BK$356)</f>
        <v>0</v>
      </c>
    </row>
    <row r="354" spans="2:64" s="6" customFormat="1" ht="27" customHeight="1">
      <c r="B354" s="21"/>
      <c r="C354" s="119" t="s">
        <v>587</v>
      </c>
      <c r="D354" s="119" t="s">
        <v>161</v>
      </c>
      <c r="E354" s="120" t="s">
        <v>588</v>
      </c>
      <c r="F354" s="194" t="s">
        <v>589</v>
      </c>
      <c r="G354" s="195"/>
      <c r="H354" s="195"/>
      <c r="I354" s="195"/>
      <c r="J354" s="121" t="s">
        <v>164</v>
      </c>
      <c r="K354" s="122">
        <v>33.58</v>
      </c>
      <c r="L354" s="196">
        <v>0</v>
      </c>
      <c r="M354" s="195"/>
      <c r="N354" s="197">
        <f>ROUND($L$354*$K$354,2)</f>
        <v>0</v>
      </c>
      <c r="O354" s="195"/>
      <c r="P354" s="195"/>
      <c r="Q354" s="195"/>
      <c r="R354" s="22"/>
      <c r="T354" s="123"/>
      <c r="U354" s="28" t="s">
        <v>41</v>
      </c>
      <c r="V354" s="124">
        <v>0.475</v>
      </c>
      <c r="W354" s="124">
        <f>$V$354*$K$354</f>
        <v>15.950499999999998</v>
      </c>
      <c r="X354" s="124">
        <v>0</v>
      </c>
      <c r="Y354" s="124">
        <f>$X$354*$K$354</f>
        <v>0</v>
      </c>
      <c r="Z354" s="124">
        <v>0</v>
      </c>
      <c r="AA354" s="125">
        <f>$Z$354*$K$354</f>
        <v>0</v>
      </c>
      <c r="AR354" s="6" t="s">
        <v>221</v>
      </c>
      <c r="AT354" s="6" t="s">
        <v>161</v>
      </c>
      <c r="AU354" s="6" t="s">
        <v>102</v>
      </c>
      <c r="AY354" s="6" t="s">
        <v>160</v>
      </c>
      <c r="BE354" s="77">
        <f>IF($U$354="základní",$N$354,0)</f>
        <v>0</v>
      </c>
      <c r="BF354" s="77">
        <f>IF($U$354="snížená",$N$354,0)</f>
        <v>0</v>
      </c>
      <c r="BG354" s="77">
        <f>IF($U$354="zákl. přenesená",$N$354,0)</f>
        <v>0</v>
      </c>
      <c r="BH354" s="77">
        <f>IF($U$354="sníž. přenesená",$N$354,0)</f>
        <v>0</v>
      </c>
      <c r="BI354" s="77">
        <f>IF($U$354="nulová",$N$354,0)</f>
        <v>0</v>
      </c>
      <c r="BJ354" s="6" t="s">
        <v>17</v>
      </c>
      <c r="BK354" s="77">
        <f>ROUND($L$354*$K$354,2)</f>
        <v>0</v>
      </c>
      <c r="BL354" s="6" t="s">
        <v>221</v>
      </c>
    </row>
    <row r="355" spans="2:64" s="6" customFormat="1" ht="15.75" customHeight="1">
      <c r="B355" s="21"/>
      <c r="C355" s="138" t="s">
        <v>590</v>
      </c>
      <c r="D355" s="138" t="s">
        <v>276</v>
      </c>
      <c r="E355" s="139" t="s">
        <v>591</v>
      </c>
      <c r="F355" s="202" t="s">
        <v>592</v>
      </c>
      <c r="G355" s="203"/>
      <c r="H355" s="203"/>
      <c r="I355" s="203"/>
      <c r="J355" s="140" t="s">
        <v>213</v>
      </c>
      <c r="K355" s="141">
        <v>379.454</v>
      </c>
      <c r="L355" s="204">
        <v>0</v>
      </c>
      <c r="M355" s="203"/>
      <c r="N355" s="205">
        <f>ROUND($L$355*$K$355,2)</f>
        <v>0</v>
      </c>
      <c r="O355" s="195"/>
      <c r="P355" s="195"/>
      <c r="Q355" s="195"/>
      <c r="R355" s="22"/>
      <c r="T355" s="123"/>
      <c r="U355" s="28" t="s">
        <v>41</v>
      </c>
      <c r="V355" s="124">
        <v>0</v>
      </c>
      <c r="W355" s="124">
        <f>$V$355*$K$355</f>
        <v>0</v>
      </c>
      <c r="X355" s="124">
        <v>0.0037</v>
      </c>
      <c r="Y355" s="124">
        <f>$X$355*$K$355</f>
        <v>1.4039798000000001</v>
      </c>
      <c r="Z355" s="124">
        <v>0</v>
      </c>
      <c r="AA355" s="125">
        <f>$Z$355*$K$355</f>
        <v>0</v>
      </c>
      <c r="AR355" s="6" t="s">
        <v>283</v>
      </c>
      <c r="AT355" s="6" t="s">
        <v>276</v>
      </c>
      <c r="AU355" s="6" t="s">
        <v>102</v>
      </c>
      <c r="AY355" s="6" t="s">
        <v>160</v>
      </c>
      <c r="BE355" s="77">
        <f>IF($U$355="základní",$N$355,0)</f>
        <v>0</v>
      </c>
      <c r="BF355" s="77">
        <f>IF($U$355="snížená",$N$355,0)</f>
        <v>0</v>
      </c>
      <c r="BG355" s="77">
        <f>IF($U$355="zákl. přenesená",$N$355,0)</f>
        <v>0</v>
      </c>
      <c r="BH355" s="77">
        <f>IF($U$355="sníž. přenesená",$N$355,0)</f>
        <v>0</v>
      </c>
      <c r="BI355" s="77">
        <f>IF($U$355="nulová",$N$355,0)</f>
        <v>0</v>
      </c>
      <c r="BJ355" s="6" t="s">
        <v>17</v>
      </c>
      <c r="BK355" s="77">
        <f>ROUND($L$355*$K$355,2)</f>
        <v>0</v>
      </c>
      <c r="BL355" s="6" t="s">
        <v>221</v>
      </c>
    </row>
    <row r="356" spans="2:64" s="6" customFormat="1" ht="27" customHeight="1">
      <c r="B356" s="21"/>
      <c r="C356" s="119" t="s">
        <v>593</v>
      </c>
      <c r="D356" s="119" t="s">
        <v>161</v>
      </c>
      <c r="E356" s="120" t="s">
        <v>594</v>
      </c>
      <c r="F356" s="194" t="s">
        <v>595</v>
      </c>
      <c r="G356" s="195"/>
      <c r="H356" s="195"/>
      <c r="I356" s="195"/>
      <c r="J356" s="121" t="s">
        <v>472</v>
      </c>
      <c r="K356" s="142">
        <v>0</v>
      </c>
      <c r="L356" s="196">
        <v>0</v>
      </c>
      <c r="M356" s="195"/>
      <c r="N356" s="197">
        <f>ROUND($L$356*$K$356,2)</f>
        <v>0</v>
      </c>
      <c r="O356" s="195"/>
      <c r="P356" s="195"/>
      <c r="Q356" s="195"/>
      <c r="R356" s="22"/>
      <c r="T356" s="123"/>
      <c r="U356" s="28" t="s">
        <v>41</v>
      </c>
      <c r="V356" s="124">
        <v>0</v>
      </c>
      <c r="W356" s="124">
        <f>$V$356*$K$356</f>
        <v>0</v>
      </c>
      <c r="X356" s="124">
        <v>0</v>
      </c>
      <c r="Y356" s="124">
        <f>$X$356*$K$356</f>
        <v>0</v>
      </c>
      <c r="Z356" s="124">
        <v>0</v>
      </c>
      <c r="AA356" s="125">
        <f>$Z$356*$K$356</f>
        <v>0</v>
      </c>
      <c r="AR356" s="6" t="s">
        <v>221</v>
      </c>
      <c r="AT356" s="6" t="s">
        <v>161</v>
      </c>
      <c r="AU356" s="6" t="s">
        <v>102</v>
      </c>
      <c r="AY356" s="6" t="s">
        <v>160</v>
      </c>
      <c r="BE356" s="77">
        <f>IF($U$356="základní",$N$356,0)</f>
        <v>0</v>
      </c>
      <c r="BF356" s="77">
        <f>IF($U$356="snížená",$N$356,0)</f>
        <v>0</v>
      </c>
      <c r="BG356" s="77">
        <f>IF($U$356="zákl. přenesená",$N$356,0)</f>
        <v>0</v>
      </c>
      <c r="BH356" s="77">
        <f>IF($U$356="sníž. přenesená",$N$356,0)</f>
        <v>0</v>
      </c>
      <c r="BI356" s="77">
        <f>IF($U$356="nulová",$N$356,0)</f>
        <v>0</v>
      </c>
      <c r="BJ356" s="6" t="s">
        <v>17</v>
      </c>
      <c r="BK356" s="77">
        <f>ROUND($L$356*$K$356,2)</f>
        <v>0</v>
      </c>
      <c r="BL356" s="6" t="s">
        <v>221</v>
      </c>
    </row>
    <row r="357" spans="2:63" s="109" customFormat="1" ht="30.75" customHeight="1">
      <c r="B357" s="110"/>
      <c r="D357" s="118" t="s">
        <v>130</v>
      </c>
      <c r="N357" s="210">
        <f>$BK$357</f>
        <v>0</v>
      </c>
      <c r="O357" s="209"/>
      <c r="P357" s="209"/>
      <c r="Q357" s="209"/>
      <c r="R357" s="113"/>
      <c r="T357" s="114"/>
      <c r="W357" s="115">
        <f>SUM($W$358:$W$373)</f>
        <v>24.71489</v>
      </c>
      <c r="Y357" s="115">
        <f>SUM($Y$358:$Y$373)</f>
        <v>0.12159160000000001</v>
      </c>
      <c r="AA357" s="116">
        <f>SUM($AA$358:$AA$373)</f>
        <v>0</v>
      </c>
      <c r="AR357" s="112" t="s">
        <v>102</v>
      </c>
      <c r="AT357" s="112" t="s">
        <v>75</v>
      </c>
      <c r="AU357" s="112" t="s">
        <v>17</v>
      </c>
      <c r="AY357" s="112" t="s">
        <v>160</v>
      </c>
      <c r="BK357" s="117">
        <f>SUM($BK$358:$BK$373)</f>
        <v>0</v>
      </c>
    </row>
    <row r="358" spans="2:64" s="6" customFormat="1" ht="15.75" customHeight="1">
      <c r="B358" s="21"/>
      <c r="C358" s="119" t="s">
        <v>596</v>
      </c>
      <c r="D358" s="119" t="s">
        <v>161</v>
      </c>
      <c r="E358" s="120" t="s">
        <v>597</v>
      </c>
      <c r="F358" s="194" t="s">
        <v>598</v>
      </c>
      <c r="G358" s="195"/>
      <c r="H358" s="195"/>
      <c r="I358" s="195"/>
      <c r="J358" s="121" t="s">
        <v>164</v>
      </c>
      <c r="K358" s="122">
        <v>5.85</v>
      </c>
      <c r="L358" s="196">
        <v>0</v>
      </c>
      <c r="M358" s="195"/>
      <c r="N358" s="197">
        <f>ROUND($L$358*$K$358,2)</f>
        <v>0</v>
      </c>
      <c r="O358" s="195"/>
      <c r="P358" s="195"/>
      <c r="Q358" s="195"/>
      <c r="R358" s="22"/>
      <c r="T358" s="123"/>
      <c r="U358" s="28" t="s">
        <v>41</v>
      </c>
      <c r="V358" s="124">
        <v>0.429</v>
      </c>
      <c r="W358" s="124">
        <f>$V$358*$K$358</f>
        <v>2.5096499999999997</v>
      </c>
      <c r="X358" s="124">
        <v>0</v>
      </c>
      <c r="Y358" s="124">
        <f>$X$358*$K$358</f>
        <v>0</v>
      </c>
      <c r="Z358" s="124">
        <v>0</v>
      </c>
      <c r="AA358" s="125">
        <f>$Z$358*$K$358</f>
        <v>0</v>
      </c>
      <c r="AR358" s="6" t="s">
        <v>221</v>
      </c>
      <c r="AT358" s="6" t="s">
        <v>161</v>
      </c>
      <c r="AU358" s="6" t="s">
        <v>102</v>
      </c>
      <c r="AY358" s="6" t="s">
        <v>160</v>
      </c>
      <c r="BE358" s="77">
        <f>IF($U$358="základní",$N$358,0)</f>
        <v>0</v>
      </c>
      <c r="BF358" s="77">
        <f>IF($U$358="snížená",$N$358,0)</f>
        <v>0</v>
      </c>
      <c r="BG358" s="77">
        <f>IF($U$358="zákl. přenesená",$N$358,0)</f>
        <v>0</v>
      </c>
      <c r="BH358" s="77">
        <f>IF($U$358="sníž. přenesená",$N$358,0)</f>
        <v>0</v>
      </c>
      <c r="BI358" s="77">
        <f>IF($U$358="nulová",$N$358,0)</f>
        <v>0</v>
      </c>
      <c r="BJ358" s="6" t="s">
        <v>17</v>
      </c>
      <c r="BK358" s="77">
        <f>ROUND($L$358*$K$358,2)</f>
        <v>0</v>
      </c>
      <c r="BL358" s="6" t="s">
        <v>221</v>
      </c>
    </row>
    <row r="359" spans="2:51" s="6" customFormat="1" ht="15.75" customHeight="1">
      <c r="B359" s="126"/>
      <c r="E359" s="127"/>
      <c r="F359" s="198" t="s">
        <v>599</v>
      </c>
      <c r="G359" s="199"/>
      <c r="H359" s="199"/>
      <c r="I359" s="199"/>
      <c r="K359" s="128">
        <v>5.85</v>
      </c>
      <c r="R359" s="129"/>
      <c r="T359" s="130"/>
      <c r="AA359" s="131"/>
      <c r="AT359" s="127" t="s">
        <v>167</v>
      </c>
      <c r="AU359" s="127" t="s">
        <v>102</v>
      </c>
      <c r="AV359" s="127" t="s">
        <v>102</v>
      </c>
      <c r="AW359" s="127" t="s">
        <v>109</v>
      </c>
      <c r="AX359" s="127" t="s">
        <v>17</v>
      </c>
      <c r="AY359" s="127" t="s">
        <v>160</v>
      </c>
    </row>
    <row r="360" spans="2:64" s="6" customFormat="1" ht="27" customHeight="1">
      <c r="B360" s="21"/>
      <c r="C360" s="119" t="s">
        <v>600</v>
      </c>
      <c r="D360" s="119" t="s">
        <v>161</v>
      </c>
      <c r="E360" s="120" t="s">
        <v>601</v>
      </c>
      <c r="F360" s="194" t="s">
        <v>602</v>
      </c>
      <c r="G360" s="195"/>
      <c r="H360" s="195"/>
      <c r="I360" s="195"/>
      <c r="J360" s="121" t="s">
        <v>213</v>
      </c>
      <c r="K360" s="122">
        <v>1</v>
      </c>
      <c r="L360" s="196">
        <v>0</v>
      </c>
      <c r="M360" s="195"/>
      <c r="N360" s="197">
        <f>ROUND($L$360*$K$360,2)</f>
        <v>0</v>
      </c>
      <c r="O360" s="195"/>
      <c r="P360" s="195"/>
      <c r="Q360" s="195"/>
      <c r="R360" s="22"/>
      <c r="T360" s="123"/>
      <c r="U360" s="28" t="s">
        <v>41</v>
      </c>
      <c r="V360" s="124">
        <v>0.429</v>
      </c>
      <c r="W360" s="124">
        <f>$V$360*$K$360</f>
        <v>0.429</v>
      </c>
      <c r="X360" s="124">
        <v>0</v>
      </c>
      <c r="Y360" s="124">
        <f>$X$360*$K$360</f>
        <v>0</v>
      </c>
      <c r="Z360" s="124">
        <v>0</v>
      </c>
      <c r="AA360" s="125">
        <f>$Z$360*$K$360</f>
        <v>0</v>
      </c>
      <c r="AR360" s="6" t="s">
        <v>221</v>
      </c>
      <c r="AT360" s="6" t="s">
        <v>161</v>
      </c>
      <c r="AU360" s="6" t="s">
        <v>102</v>
      </c>
      <c r="AY360" s="6" t="s">
        <v>160</v>
      </c>
      <c r="BE360" s="77">
        <f>IF($U$360="základní",$N$360,0)</f>
        <v>0</v>
      </c>
      <c r="BF360" s="77">
        <f>IF($U$360="snížená",$N$360,0)</f>
        <v>0</v>
      </c>
      <c r="BG360" s="77">
        <f>IF($U$360="zákl. přenesená",$N$360,0)</f>
        <v>0</v>
      </c>
      <c r="BH360" s="77">
        <f>IF($U$360="sníž. přenesená",$N$360,0)</f>
        <v>0</v>
      </c>
      <c r="BI360" s="77">
        <f>IF($U$360="nulová",$N$360,0)</f>
        <v>0</v>
      </c>
      <c r="BJ360" s="6" t="s">
        <v>17</v>
      </c>
      <c r="BK360" s="77">
        <f>ROUND($L$360*$K$360,2)</f>
        <v>0</v>
      </c>
      <c r="BL360" s="6" t="s">
        <v>221</v>
      </c>
    </row>
    <row r="361" spans="2:64" s="6" customFormat="1" ht="27" customHeight="1">
      <c r="B361" s="21"/>
      <c r="C361" s="119" t="s">
        <v>603</v>
      </c>
      <c r="D361" s="119" t="s">
        <v>161</v>
      </c>
      <c r="E361" s="120" t="s">
        <v>604</v>
      </c>
      <c r="F361" s="194" t="s">
        <v>605</v>
      </c>
      <c r="G361" s="195"/>
      <c r="H361" s="195"/>
      <c r="I361" s="195"/>
      <c r="J361" s="121" t="s">
        <v>213</v>
      </c>
      <c r="K361" s="122">
        <v>1</v>
      </c>
      <c r="L361" s="196">
        <v>0</v>
      </c>
      <c r="M361" s="195"/>
      <c r="N361" s="197">
        <f>ROUND($L$361*$K$361,2)</f>
        <v>0</v>
      </c>
      <c r="O361" s="195"/>
      <c r="P361" s="195"/>
      <c r="Q361" s="195"/>
      <c r="R361" s="22"/>
      <c r="T361" s="123"/>
      <c r="U361" s="28" t="s">
        <v>41</v>
      </c>
      <c r="V361" s="124">
        <v>0.429</v>
      </c>
      <c r="W361" s="124">
        <f>$V$361*$K$361</f>
        <v>0.429</v>
      </c>
      <c r="X361" s="124">
        <v>0</v>
      </c>
      <c r="Y361" s="124">
        <f>$X$361*$K$361</f>
        <v>0</v>
      </c>
      <c r="Z361" s="124">
        <v>0</v>
      </c>
      <c r="AA361" s="125">
        <f>$Z$361*$K$361</f>
        <v>0</v>
      </c>
      <c r="AR361" s="6" t="s">
        <v>221</v>
      </c>
      <c r="AT361" s="6" t="s">
        <v>161</v>
      </c>
      <c r="AU361" s="6" t="s">
        <v>102</v>
      </c>
      <c r="AY361" s="6" t="s">
        <v>160</v>
      </c>
      <c r="BE361" s="77">
        <f>IF($U$361="základní",$N$361,0)</f>
        <v>0</v>
      </c>
      <c r="BF361" s="77">
        <f>IF($U$361="snížená",$N$361,0)</f>
        <v>0</v>
      </c>
      <c r="BG361" s="77">
        <f>IF($U$361="zákl. přenesená",$N$361,0)</f>
        <v>0</v>
      </c>
      <c r="BH361" s="77">
        <f>IF($U$361="sníž. přenesená",$N$361,0)</f>
        <v>0</v>
      </c>
      <c r="BI361" s="77">
        <f>IF($U$361="nulová",$N$361,0)</f>
        <v>0</v>
      </c>
      <c r="BJ361" s="6" t="s">
        <v>17</v>
      </c>
      <c r="BK361" s="77">
        <f>ROUND($L$361*$K$361,2)</f>
        <v>0</v>
      </c>
      <c r="BL361" s="6" t="s">
        <v>221</v>
      </c>
    </row>
    <row r="362" spans="2:64" s="6" customFormat="1" ht="27" customHeight="1">
      <c r="B362" s="21"/>
      <c r="C362" s="119" t="s">
        <v>606</v>
      </c>
      <c r="D362" s="119" t="s">
        <v>161</v>
      </c>
      <c r="E362" s="120" t="s">
        <v>607</v>
      </c>
      <c r="F362" s="194" t="s">
        <v>608</v>
      </c>
      <c r="G362" s="195"/>
      <c r="H362" s="195"/>
      <c r="I362" s="195"/>
      <c r="J362" s="121" t="s">
        <v>213</v>
      </c>
      <c r="K362" s="122">
        <v>1</v>
      </c>
      <c r="L362" s="196">
        <v>0</v>
      </c>
      <c r="M362" s="195"/>
      <c r="N362" s="197">
        <f>ROUND($L$362*$K$362,2)</f>
        <v>0</v>
      </c>
      <c r="O362" s="195"/>
      <c r="P362" s="195"/>
      <c r="Q362" s="195"/>
      <c r="R362" s="22"/>
      <c r="T362" s="123"/>
      <c r="U362" s="28" t="s">
        <v>41</v>
      </c>
      <c r="V362" s="124">
        <v>0.153</v>
      </c>
      <c r="W362" s="124">
        <f>$V$362*$K$362</f>
        <v>0.153</v>
      </c>
      <c r="X362" s="124">
        <v>0</v>
      </c>
      <c r="Y362" s="124">
        <f>$X$362*$K$362</f>
        <v>0</v>
      </c>
      <c r="Z362" s="124">
        <v>0</v>
      </c>
      <c r="AA362" s="125">
        <f>$Z$362*$K$362</f>
        <v>0</v>
      </c>
      <c r="AR362" s="6" t="s">
        <v>221</v>
      </c>
      <c r="AT362" s="6" t="s">
        <v>161</v>
      </c>
      <c r="AU362" s="6" t="s">
        <v>102</v>
      </c>
      <c r="AY362" s="6" t="s">
        <v>160</v>
      </c>
      <c r="BE362" s="77">
        <f>IF($U$362="základní",$N$362,0)</f>
        <v>0</v>
      </c>
      <c r="BF362" s="77">
        <f>IF($U$362="snížená",$N$362,0)</f>
        <v>0</v>
      </c>
      <c r="BG362" s="77">
        <f>IF($U$362="zákl. přenesená",$N$362,0)</f>
        <v>0</v>
      </c>
      <c r="BH362" s="77">
        <f>IF($U$362="sníž. přenesená",$N$362,0)</f>
        <v>0</v>
      </c>
      <c r="BI362" s="77">
        <f>IF($U$362="nulová",$N$362,0)</f>
        <v>0</v>
      </c>
      <c r="BJ362" s="6" t="s">
        <v>17</v>
      </c>
      <c r="BK362" s="77">
        <f>ROUND($L$362*$K$362,2)</f>
        <v>0</v>
      </c>
      <c r="BL362" s="6" t="s">
        <v>221</v>
      </c>
    </row>
    <row r="363" spans="2:64" s="6" customFormat="1" ht="27" customHeight="1">
      <c r="B363" s="21"/>
      <c r="C363" s="119" t="s">
        <v>609</v>
      </c>
      <c r="D363" s="119" t="s">
        <v>161</v>
      </c>
      <c r="E363" s="120" t="s">
        <v>610</v>
      </c>
      <c r="F363" s="194" t="s">
        <v>611</v>
      </c>
      <c r="G363" s="195"/>
      <c r="H363" s="195"/>
      <c r="I363" s="195"/>
      <c r="J363" s="121" t="s">
        <v>164</v>
      </c>
      <c r="K363" s="122">
        <v>10.36</v>
      </c>
      <c r="L363" s="196">
        <v>0</v>
      </c>
      <c r="M363" s="195"/>
      <c r="N363" s="197">
        <f>ROUND($L$363*$K$363,2)</f>
        <v>0</v>
      </c>
      <c r="O363" s="195"/>
      <c r="P363" s="195"/>
      <c r="Q363" s="195"/>
      <c r="R363" s="22"/>
      <c r="T363" s="123"/>
      <c r="U363" s="28" t="s">
        <v>41</v>
      </c>
      <c r="V363" s="124">
        <v>0.764</v>
      </c>
      <c r="W363" s="124">
        <f>$V$363*$K$363</f>
        <v>7.915039999999999</v>
      </c>
      <c r="X363" s="124">
        <v>0</v>
      </c>
      <c r="Y363" s="124">
        <f>$X$363*$K$363</f>
        <v>0</v>
      </c>
      <c r="Z363" s="124">
        <v>0</v>
      </c>
      <c r="AA363" s="125">
        <f>$Z$363*$K$363</f>
        <v>0</v>
      </c>
      <c r="AR363" s="6" t="s">
        <v>221</v>
      </c>
      <c r="AT363" s="6" t="s">
        <v>161</v>
      </c>
      <c r="AU363" s="6" t="s">
        <v>102</v>
      </c>
      <c r="AY363" s="6" t="s">
        <v>160</v>
      </c>
      <c r="BE363" s="77">
        <f>IF($U$363="základní",$N$363,0)</f>
        <v>0</v>
      </c>
      <c r="BF363" s="77">
        <f>IF($U$363="snížená",$N$363,0)</f>
        <v>0</v>
      </c>
      <c r="BG363" s="77">
        <f>IF($U$363="zákl. přenesená",$N$363,0)</f>
        <v>0</v>
      </c>
      <c r="BH363" s="77">
        <f>IF($U$363="sníž. přenesená",$N$363,0)</f>
        <v>0</v>
      </c>
      <c r="BI363" s="77">
        <f>IF($U$363="nulová",$N$363,0)</f>
        <v>0</v>
      </c>
      <c r="BJ363" s="6" t="s">
        <v>17</v>
      </c>
      <c r="BK363" s="77">
        <f>ROUND($L$363*$K$363,2)</f>
        <v>0</v>
      </c>
      <c r="BL363" s="6" t="s">
        <v>221</v>
      </c>
    </row>
    <row r="364" spans="2:51" s="6" customFormat="1" ht="15.75" customHeight="1">
      <c r="B364" s="126"/>
      <c r="E364" s="127"/>
      <c r="F364" s="198" t="s">
        <v>612</v>
      </c>
      <c r="G364" s="199"/>
      <c r="H364" s="199"/>
      <c r="I364" s="199"/>
      <c r="K364" s="128">
        <v>10.36</v>
      </c>
      <c r="R364" s="129"/>
      <c r="T364" s="130"/>
      <c r="AA364" s="131"/>
      <c r="AT364" s="127" t="s">
        <v>167</v>
      </c>
      <c r="AU364" s="127" t="s">
        <v>102</v>
      </c>
      <c r="AV364" s="127" t="s">
        <v>102</v>
      </c>
      <c r="AW364" s="127" t="s">
        <v>109</v>
      </c>
      <c r="AX364" s="127" t="s">
        <v>17</v>
      </c>
      <c r="AY364" s="127" t="s">
        <v>160</v>
      </c>
    </row>
    <row r="365" spans="2:64" s="6" customFormat="1" ht="27" customHeight="1">
      <c r="B365" s="21"/>
      <c r="C365" s="138" t="s">
        <v>613</v>
      </c>
      <c r="D365" s="138" t="s">
        <v>276</v>
      </c>
      <c r="E365" s="139" t="s">
        <v>614</v>
      </c>
      <c r="F365" s="202" t="s">
        <v>615</v>
      </c>
      <c r="G365" s="203"/>
      <c r="H365" s="203"/>
      <c r="I365" s="203"/>
      <c r="J365" s="140" t="s">
        <v>164</v>
      </c>
      <c r="K365" s="141">
        <v>10.36</v>
      </c>
      <c r="L365" s="204">
        <v>0</v>
      </c>
      <c r="M365" s="203"/>
      <c r="N365" s="205">
        <f>ROUND($L$365*$K$365,2)</f>
        <v>0</v>
      </c>
      <c r="O365" s="195"/>
      <c r="P365" s="195"/>
      <c r="Q365" s="195"/>
      <c r="R365" s="22"/>
      <c r="T365" s="123"/>
      <c r="U365" s="28" t="s">
        <v>41</v>
      </c>
      <c r="V365" s="124">
        <v>0</v>
      </c>
      <c r="W365" s="124">
        <f>$V$365*$K$365</f>
        <v>0</v>
      </c>
      <c r="X365" s="124">
        <v>0.00931</v>
      </c>
      <c r="Y365" s="124">
        <f>$X$365*$K$365</f>
        <v>0.0964516</v>
      </c>
      <c r="Z365" s="124">
        <v>0</v>
      </c>
      <c r="AA365" s="125">
        <f>$Z$365*$K$365</f>
        <v>0</v>
      </c>
      <c r="AR365" s="6" t="s">
        <v>283</v>
      </c>
      <c r="AT365" s="6" t="s">
        <v>276</v>
      </c>
      <c r="AU365" s="6" t="s">
        <v>102</v>
      </c>
      <c r="AY365" s="6" t="s">
        <v>160</v>
      </c>
      <c r="BE365" s="77">
        <f>IF($U$365="základní",$N$365,0)</f>
        <v>0</v>
      </c>
      <c r="BF365" s="77">
        <f>IF($U$365="snížená",$N$365,0)</f>
        <v>0</v>
      </c>
      <c r="BG365" s="77">
        <f>IF($U$365="zákl. přenesená",$N$365,0)</f>
        <v>0</v>
      </c>
      <c r="BH365" s="77">
        <f>IF($U$365="sníž. přenesená",$N$365,0)</f>
        <v>0</v>
      </c>
      <c r="BI365" s="77">
        <f>IF($U$365="nulová",$N$365,0)</f>
        <v>0</v>
      </c>
      <c r="BJ365" s="6" t="s">
        <v>17</v>
      </c>
      <c r="BK365" s="77">
        <f>ROUND($L$365*$K$365,2)</f>
        <v>0</v>
      </c>
      <c r="BL365" s="6" t="s">
        <v>221</v>
      </c>
    </row>
    <row r="366" spans="2:64" s="6" customFormat="1" ht="15.75" customHeight="1">
      <c r="B366" s="21"/>
      <c r="C366" s="119" t="s">
        <v>616</v>
      </c>
      <c r="D366" s="119" t="s">
        <v>161</v>
      </c>
      <c r="E366" s="120" t="s">
        <v>617</v>
      </c>
      <c r="F366" s="194" t="s">
        <v>618</v>
      </c>
      <c r="G366" s="195"/>
      <c r="H366" s="195"/>
      <c r="I366" s="195"/>
      <c r="J366" s="121" t="s">
        <v>173</v>
      </c>
      <c r="K366" s="122">
        <v>59.2</v>
      </c>
      <c r="L366" s="196">
        <v>0</v>
      </c>
      <c r="M366" s="195"/>
      <c r="N366" s="197">
        <f>ROUND($L$366*$K$366,2)</f>
        <v>0</v>
      </c>
      <c r="O366" s="195"/>
      <c r="P366" s="195"/>
      <c r="Q366" s="195"/>
      <c r="R366" s="22"/>
      <c r="T366" s="123"/>
      <c r="U366" s="28" t="s">
        <v>41</v>
      </c>
      <c r="V366" s="124">
        <v>0.201</v>
      </c>
      <c r="W366" s="124">
        <f>$V$366*$K$366</f>
        <v>11.8992</v>
      </c>
      <c r="X366" s="124">
        <v>0</v>
      </c>
      <c r="Y366" s="124">
        <f>$X$366*$K$366</f>
        <v>0</v>
      </c>
      <c r="Z366" s="124">
        <v>0</v>
      </c>
      <c r="AA366" s="125">
        <f>$Z$366*$K$366</f>
        <v>0</v>
      </c>
      <c r="AR366" s="6" t="s">
        <v>221</v>
      </c>
      <c r="AT366" s="6" t="s">
        <v>161</v>
      </c>
      <c r="AU366" s="6" t="s">
        <v>102</v>
      </c>
      <c r="AY366" s="6" t="s">
        <v>160</v>
      </c>
      <c r="BE366" s="77">
        <f>IF($U$366="základní",$N$366,0)</f>
        <v>0</v>
      </c>
      <c r="BF366" s="77">
        <f>IF($U$366="snížená",$N$366,0)</f>
        <v>0</v>
      </c>
      <c r="BG366" s="77">
        <f>IF($U$366="zákl. přenesená",$N$366,0)</f>
        <v>0</v>
      </c>
      <c r="BH366" s="77">
        <f>IF($U$366="sníž. přenesená",$N$366,0)</f>
        <v>0</v>
      </c>
      <c r="BI366" s="77">
        <f>IF($U$366="nulová",$N$366,0)</f>
        <v>0</v>
      </c>
      <c r="BJ366" s="6" t="s">
        <v>17</v>
      </c>
      <c r="BK366" s="77">
        <f>ROUND($L$366*$K$366,2)</f>
        <v>0</v>
      </c>
      <c r="BL366" s="6" t="s">
        <v>221</v>
      </c>
    </row>
    <row r="367" spans="2:64" s="6" customFormat="1" ht="27" customHeight="1">
      <c r="B367" s="21"/>
      <c r="C367" s="138" t="s">
        <v>619</v>
      </c>
      <c r="D367" s="138" t="s">
        <v>276</v>
      </c>
      <c r="E367" s="139" t="s">
        <v>546</v>
      </c>
      <c r="F367" s="202" t="s">
        <v>547</v>
      </c>
      <c r="G367" s="203"/>
      <c r="H367" s="203"/>
      <c r="I367" s="203"/>
      <c r="J367" s="140" t="s">
        <v>176</v>
      </c>
      <c r="K367" s="141">
        <v>0.024</v>
      </c>
      <c r="L367" s="204">
        <v>0</v>
      </c>
      <c r="M367" s="203"/>
      <c r="N367" s="205">
        <f>ROUND($L$367*$K$367,2)</f>
        <v>0</v>
      </c>
      <c r="O367" s="195"/>
      <c r="P367" s="195"/>
      <c r="Q367" s="195"/>
      <c r="R367" s="22"/>
      <c r="T367" s="123"/>
      <c r="U367" s="28" t="s">
        <v>41</v>
      </c>
      <c r="V367" s="124">
        <v>0</v>
      </c>
      <c r="W367" s="124">
        <f>$V$367*$K$367</f>
        <v>0</v>
      </c>
      <c r="X367" s="124">
        <v>0.55</v>
      </c>
      <c r="Y367" s="124">
        <f>$X$367*$K$367</f>
        <v>0.013200000000000002</v>
      </c>
      <c r="Z367" s="124">
        <v>0</v>
      </c>
      <c r="AA367" s="125">
        <f>$Z$367*$K$367</f>
        <v>0</v>
      </c>
      <c r="AR367" s="6" t="s">
        <v>283</v>
      </c>
      <c r="AT367" s="6" t="s">
        <v>276</v>
      </c>
      <c r="AU367" s="6" t="s">
        <v>102</v>
      </c>
      <c r="AY367" s="6" t="s">
        <v>160</v>
      </c>
      <c r="BE367" s="77">
        <f>IF($U$367="základní",$N$367,0)</f>
        <v>0</v>
      </c>
      <c r="BF367" s="77">
        <f>IF($U$367="snížená",$N$367,0)</f>
        <v>0</v>
      </c>
      <c r="BG367" s="77">
        <f>IF($U$367="zákl. přenesená",$N$367,0)</f>
        <v>0</v>
      </c>
      <c r="BH367" s="77">
        <f>IF($U$367="sníž. přenesená",$N$367,0)</f>
        <v>0</v>
      </c>
      <c r="BI367" s="77">
        <f>IF($U$367="nulová",$N$367,0)</f>
        <v>0</v>
      </c>
      <c r="BJ367" s="6" t="s">
        <v>17</v>
      </c>
      <c r="BK367" s="77">
        <f>ROUND($L$367*$K$367,2)</f>
        <v>0</v>
      </c>
      <c r="BL367" s="6" t="s">
        <v>221</v>
      </c>
    </row>
    <row r="368" spans="2:51" s="6" customFormat="1" ht="15.75" customHeight="1">
      <c r="B368" s="126"/>
      <c r="E368" s="127"/>
      <c r="F368" s="198" t="s">
        <v>620</v>
      </c>
      <c r="G368" s="199"/>
      <c r="H368" s="199"/>
      <c r="I368" s="199"/>
      <c r="K368" s="128">
        <v>0.024</v>
      </c>
      <c r="R368" s="129"/>
      <c r="T368" s="130"/>
      <c r="AA368" s="131"/>
      <c r="AT368" s="127" t="s">
        <v>167</v>
      </c>
      <c r="AU368" s="127" t="s">
        <v>102</v>
      </c>
      <c r="AV368" s="127" t="s">
        <v>102</v>
      </c>
      <c r="AW368" s="127" t="s">
        <v>109</v>
      </c>
      <c r="AX368" s="127" t="s">
        <v>17</v>
      </c>
      <c r="AY368" s="127" t="s">
        <v>160</v>
      </c>
    </row>
    <row r="369" spans="2:64" s="6" customFormat="1" ht="27" customHeight="1">
      <c r="B369" s="21"/>
      <c r="C369" s="119" t="s">
        <v>621</v>
      </c>
      <c r="D369" s="119" t="s">
        <v>161</v>
      </c>
      <c r="E369" s="120" t="s">
        <v>622</v>
      </c>
      <c r="F369" s="194" t="s">
        <v>623</v>
      </c>
      <c r="G369" s="195"/>
      <c r="H369" s="195"/>
      <c r="I369" s="195"/>
      <c r="J369" s="121" t="s">
        <v>213</v>
      </c>
      <c r="K369" s="122">
        <v>4</v>
      </c>
      <c r="L369" s="196">
        <v>0</v>
      </c>
      <c r="M369" s="195"/>
      <c r="N369" s="197">
        <f>ROUND($L$369*$K$369,2)</f>
        <v>0</v>
      </c>
      <c r="O369" s="195"/>
      <c r="P369" s="195"/>
      <c r="Q369" s="195"/>
      <c r="R369" s="22"/>
      <c r="T369" s="123"/>
      <c r="U369" s="28" t="s">
        <v>41</v>
      </c>
      <c r="V369" s="124">
        <v>0.345</v>
      </c>
      <c r="W369" s="124">
        <f>$V$369*$K$369</f>
        <v>1.38</v>
      </c>
      <c r="X369" s="124">
        <v>0</v>
      </c>
      <c r="Y369" s="124">
        <f>$X$369*$K$369</f>
        <v>0</v>
      </c>
      <c r="Z369" s="124">
        <v>0</v>
      </c>
      <c r="AA369" s="125">
        <f>$Z$369*$K$369</f>
        <v>0</v>
      </c>
      <c r="AR369" s="6" t="s">
        <v>221</v>
      </c>
      <c r="AT369" s="6" t="s">
        <v>161</v>
      </c>
      <c r="AU369" s="6" t="s">
        <v>102</v>
      </c>
      <c r="AY369" s="6" t="s">
        <v>160</v>
      </c>
      <c r="BE369" s="77">
        <f>IF($U$369="základní",$N$369,0)</f>
        <v>0</v>
      </c>
      <c r="BF369" s="77">
        <f>IF($U$369="snížená",$N$369,0)</f>
        <v>0</v>
      </c>
      <c r="BG369" s="77">
        <f>IF($U$369="zákl. přenesená",$N$369,0)</f>
        <v>0</v>
      </c>
      <c r="BH369" s="77">
        <f>IF($U$369="sníž. přenesená",$N$369,0)</f>
        <v>0</v>
      </c>
      <c r="BI369" s="77">
        <f>IF($U$369="nulová",$N$369,0)</f>
        <v>0</v>
      </c>
      <c r="BJ369" s="6" t="s">
        <v>17</v>
      </c>
      <c r="BK369" s="77">
        <f>ROUND($L$369*$K$369,2)</f>
        <v>0</v>
      </c>
      <c r="BL369" s="6" t="s">
        <v>221</v>
      </c>
    </row>
    <row r="370" spans="2:64" s="6" customFormat="1" ht="27" customHeight="1">
      <c r="B370" s="21"/>
      <c r="C370" s="138" t="s">
        <v>624</v>
      </c>
      <c r="D370" s="138" t="s">
        <v>276</v>
      </c>
      <c r="E370" s="139" t="s">
        <v>625</v>
      </c>
      <c r="F370" s="202" t="s">
        <v>626</v>
      </c>
      <c r="G370" s="203"/>
      <c r="H370" s="203"/>
      <c r="I370" s="203"/>
      <c r="J370" s="140" t="s">
        <v>173</v>
      </c>
      <c r="K370" s="141">
        <v>3.9</v>
      </c>
      <c r="L370" s="204">
        <v>0</v>
      </c>
      <c r="M370" s="203"/>
      <c r="N370" s="205">
        <f>ROUND($L$370*$K$370,2)</f>
        <v>0</v>
      </c>
      <c r="O370" s="195"/>
      <c r="P370" s="195"/>
      <c r="Q370" s="195"/>
      <c r="R370" s="22"/>
      <c r="T370" s="123"/>
      <c r="U370" s="28" t="s">
        <v>41</v>
      </c>
      <c r="V370" s="124">
        <v>0</v>
      </c>
      <c r="W370" s="124">
        <f>$V$370*$K$370</f>
        <v>0</v>
      </c>
      <c r="X370" s="124">
        <v>0.003</v>
      </c>
      <c r="Y370" s="124">
        <f>$X$370*$K$370</f>
        <v>0.0117</v>
      </c>
      <c r="Z370" s="124">
        <v>0</v>
      </c>
      <c r="AA370" s="125">
        <f>$Z$370*$K$370</f>
        <v>0</v>
      </c>
      <c r="AR370" s="6" t="s">
        <v>283</v>
      </c>
      <c r="AT370" s="6" t="s">
        <v>276</v>
      </c>
      <c r="AU370" s="6" t="s">
        <v>102</v>
      </c>
      <c r="AY370" s="6" t="s">
        <v>160</v>
      </c>
      <c r="BE370" s="77">
        <f>IF($U$370="základní",$N$370,0)</f>
        <v>0</v>
      </c>
      <c r="BF370" s="77">
        <f>IF($U$370="snížená",$N$370,0)</f>
        <v>0</v>
      </c>
      <c r="BG370" s="77">
        <f>IF($U$370="zákl. přenesená",$N$370,0)</f>
        <v>0</v>
      </c>
      <c r="BH370" s="77">
        <f>IF($U$370="sníž. přenesená",$N$370,0)</f>
        <v>0</v>
      </c>
      <c r="BI370" s="77">
        <f>IF($U$370="nulová",$N$370,0)</f>
        <v>0</v>
      </c>
      <c r="BJ370" s="6" t="s">
        <v>17</v>
      </c>
      <c r="BK370" s="77">
        <f>ROUND($L$370*$K$370,2)</f>
        <v>0</v>
      </c>
      <c r="BL370" s="6" t="s">
        <v>221</v>
      </c>
    </row>
    <row r="371" spans="2:51" s="6" customFormat="1" ht="15.75" customHeight="1">
      <c r="B371" s="126"/>
      <c r="E371" s="127"/>
      <c r="F371" s="198" t="s">
        <v>627</v>
      </c>
      <c r="G371" s="199"/>
      <c r="H371" s="199"/>
      <c r="I371" s="199"/>
      <c r="K371" s="128">
        <v>3.9</v>
      </c>
      <c r="R371" s="129"/>
      <c r="T371" s="130"/>
      <c r="AA371" s="131"/>
      <c r="AT371" s="127" t="s">
        <v>167</v>
      </c>
      <c r="AU371" s="127" t="s">
        <v>102</v>
      </c>
      <c r="AV371" s="127" t="s">
        <v>102</v>
      </c>
      <c r="AW371" s="127" t="s">
        <v>109</v>
      </c>
      <c r="AX371" s="127" t="s">
        <v>17</v>
      </c>
      <c r="AY371" s="127" t="s">
        <v>160</v>
      </c>
    </row>
    <row r="372" spans="2:64" s="6" customFormat="1" ht="15.75" customHeight="1">
      <c r="B372" s="21"/>
      <c r="C372" s="138" t="s">
        <v>628</v>
      </c>
      <c r="D372" s="138" t="s">
        <v>276</v>
      </c>
      <c r="E372" s="139" t="s">
        <v>629</v>
      </c>
      <c r="F372" s="202" t="s">
        <v>630</v>
      </c>
      <c r="G372" s="203"/>
      <c r="H372" s="203"/>
      <c r="I372" s="203"/>
      <c r="J372" s="140" t="s">
        <v>213</v>
      </c>
      <c r="K372" s="141">
        <v>4</v>
      </c>
      <c r="L372" s="204">
        <v>0</v>
      </c>
      <c r="M372" s="203"/>
      <c r="N372" s="205">
        <f>ROUND($L$372*$K$372,2)</f>
        <v>0</v>
      </c>
      <c r="O372" s="195"/>
      <c r="P372" s="195"/>
      <c r="Q372" s="195"/>
      <c r="R372" s="22"/>
      <c r="T372" s="123"/>
      <c r="U372" s="28" t="s">
        <v>41</v>
      </c>
      <c r="V372" s="124">
        <v>0</v>
      </c>
      <c r="W372" s="124">
        <f>$V$372*$K$372</f>
        <v>0</v>
      </c>
      <c r="X372" s="124">
        <v>6E-05</v>
      </c>
      <c r="Y372" s="124">
        <f>$X$372*$K$372</f>
        <v>0.00024</v>
      </c>
      <c r="Z372" s="124">
        <v>0</v>
      </c>
      <c r="AA372" s="125">
        <f>$Z$372*$K$372</f>
        <v>0</v>
      </c>
      <c r="AR372" s="6" t="s">
        <v>283</v>
      </c>
      <c r="AT372" s="6" t="s">
        <v>276</v>
      </c>
      <c r="AU372" s="6" t="s">
        <v>102</v>
      </c>
      <c r="AY372" s="6" t="s">
        <v>160</v>
      </c>
      <c r="BE372" s="77">
        <f>IF($U$372="základní",$N$372,0)</f>
        <v>0</v>
      </c>
      <c r="BF372" s="77">
        <f>IF($U$372="snížená",$N$372,0)</f>
        <v>0</v>
      </c>
      <c r="BG372" s="77">
        <f>IF($U$372="zákl. přenesená",$N$372,0)</f>
        <v>0</v>
      </c>
      <c r="BH372" s="77">
        <f>IF($U$372="sníž. přenesená",$N$372,0)</f>
        <v>0</v>
      </c>
      <c r="BI372" s="77">
        <f>IF($U$372="nulová",$N$372,0)</f>
        <v>0</v>
      </c>
      <c r="BJ372" s="6" t="s">
        <v>17</v>
      </c>
      <c r="BK372" s="77">
        <f>ROUND($L$372*$K$372,2)</f>
        <v>0</v>
      </c>
      <c r="BL372" s="6" t="s">
        <v>221</v>
      </c>
    </row>
    <row r="373" spans="2:64" s="6" customFormat="1" ht="27" customHeight="1">
      <c r="B373" s="21"/>
      <c r="C373" s="119" t="s">
        <v>631</v>
      </c>
      <c r="D373" s="119" t="s">
        <v>161</v>
      </c>
      <c r="E373" s="120" t="s">
        <v>632</v>
      </c>
      <c r="F373" s="194" t="s">
        <v>633</v>
      </c>
      <c r="G373" s="195"/>
      <c r="H373" s="195"/>
      <c r="I373" s="195"/>
      <c r="J373" s="121" t="s">
        <v>472</v>
      </c>
      <c r="K373" s="142">
        <v>0</v>
      </c>
      <c r="L373" s="196">
        <v>0</v>
      </c>
      <c r="M373" s="195"/>
      <c r="N373" s="197">
        <f>ROUND($L$373*$K$373,2)</f>
        <v>0</v>
      </c>
      <c r="O373" s="195"/>
      <c r="P373" s="195"/>
      <c r="Q373" s="195"/>
      <c r="R373" s="22"/>
      <c r="T373" s="123"/>
      <c r="U373" s="28" t="s">
        <v>41</v>
      </c>
      <c r="V373" s="124">
        <v>0</v>
      </c>
      <c r="W373" s="124">
        <f>$V$373*$K$373</f>
        <v>0</v>
      </c>
      <c r="X373" s="124">
        <v>0</v>
      </c>
      <c r="Y373" s="124">
        <f>$X$373*$K$373</f>
        <v>0</v>
      </c>
      <c r="Z373" s="124">
        <v>0</v>
      </c>
      <c r="AA373" s="125">
        <f>$Z$373*$K$373</f>
        <v>0</v>
      </c>
      <c r="AR373" s="6" t="s">
        <v>221</v>
      </c>
      <c r="AT373" s="6" t="s">
        <v>161</v>
      </c>
      <c r="AU373" s="6" t="s">
        <v>102</v>
      </c>
      <c r="AY373" s="6" t="s">
        <v>160</v>
      </c>
      <c r="BE373" s="77">
        <f>IF($U$373="základní",$N$373,0)</f>
        <v>0</v>
      </c>
      <c r="BF373" s="77">
        <f>IF($U$373="snížená",$N$373,0)</f>
        <v>0</v>
      </c>
      <c r="BG373" s="77">
        <f>IF($U$373="zákl. přenesená",$N$373,0)</f>
        <v>0</v>
      </c>
      <c r="BH373" s="77">
        <f>IF($U$373="sníž. přenesená",$N$373,0)</f>
        <v>0</v>
      </c>
      <c r="BI373" s="77">
        <f>IF($U$373="nulová",$N$373,0)</f>
        <v>0</v>
      </c>
      <c r="BJ373" s="6" t="s">
        <v>17</v>
      </c>
      <c r="BK373" s="77">
        <f>ROUND($L$373*$K$373,2)</f>
        <v>0</v>
      </c>
      <c r="BL373" s="6" t="s">
        <v>221</v>
      </c>
    </row>
    <row r="374" spans="2:63" s="109" customFormat="1" ht="30.75" customHeight="1">
      <c r="B374" s="110"/>
      <c r="D374" s="118" t="s">
        <v>131</v>
      </c>
      <c r="N374" s="210">
        <f>$BK$374</f>
        <v>0</v>
      </c>
      <c r="O374" s="209"/>
      <c r="P374" s="209"/>
      <c r="Q374" s="209"/>
      <c r="R374" s="113"/>
      <c r="T374" s="114"/>
      <c r="W374" s="115">
        <f>SUM($W$375:$W$380)</f>
        <v>3.5220000000000002</v>
      </c>
      <c r="Y374" s="115">
        <f>SUM($Y$375:$Y$380)</f>
        <v>0.0006320000000000001</v>
      </c>
      <c r="AA374" s="116">
        <f>SUM($AA$375:$AA$380)</f>
        <v>0.032</v>
      </c>
      <c r="AR374" s="112" t="s">
        <v>102</v>
      </c>
      <c r="AT374" s="112" t="s">
        <v>75</v>
      </c>
      <c r="AU374" s="112" t="s">
        <v>17</v>
      </c>
      <c r="AY374" s="112" t="s">
        <v>160</v>
      </c>
      <c r="BK374" s="117">
        <f>SUM($BK$375:$BK$380)</f>
        <v>0</v>
      </c>
    </row>
    <row r="375" spans="2:64" s="6" customFormat="1" ht="27" customHeight="1">
      <c r="B375" s="21"/>
      <c r="C375" s="119" t="s">
        <v>634</v>
      </c>
      <c r="D375" s="119" t="s">
        <v>161</v>
      </c>
      <c r="E375" s="120" t="s">
        <v>635</v>
      </c>
      <c r="F375" s="194" t="s">
        <v>636</v>
      </c>
      <c r="G375" s="195"/>
      <c r="H375" s="195"/>
      <c r="I375" s="195"/>
      <c r="J375" s="121" t="s">
        <v>173</v>
      </c>
      <c r="K375" s="122">
        <v>3.2</v>
      </c>
      <c r="L375" s="196">
        <v>0</v>
      </c>
      <c r="M375" s="195"/>
      <c r="N375" s="197">
        <f>ROUND($L$375*$K$375,2)</f>
        <v>0</v>
      </c>
      <c r="O375" s="195"/>
      <c r="P375" s="195"/>
      <c r="Q375" s="195"/>
      <c r="R375" s="22"/>
      <c r="T375" s="123"/>
      <c r="U375" s="28" t="s">
        <v>41</v>
      </c>
      <c r="V375" s="124">
        <v>0.48</v>
      </c>
      <c r="W375" s="124">
        <f>$V$375*$K$375</f>
        <v>1.536</v>
      </c>
      <c r="X375" s="124">
        <v>6E-05</v>
      </c>
      <c r="Y375" s="124">
        <f>$X$375*$K$375</f>
        <v>0.000192</v>
      </c>
      <c r="Z375" s="124">
        <v>0</v>
      </c>
      <c r="AA375" s="125">
        <f>$Z$375*$K$375</f>
        <v>0</v>
      </c>
      <c r="AR375" s="6" t="s">
        <v>221</v>
      </c>
      <c r="AT375" s="6" t="s">
        <v>161</v>
      </c>
      <c r="AU375" s="6" t="s">
        <v>102</v>
      </c>
      <c r="AY375" s="6" t="s">
        <v>160</v>
      </c>
      <c r="BE375" s="77">
        <f>IF($U$375="základní",$N$375,0)</f>
        <v>0</v>
      </c>
      <c r="BF375" s="77">
        <f>IF($U$375="snížená",$N$375,0)</f>
        <v>0</v>
      </c>
      <c r="BG375" s="77">
        <f>IF($U$375="zákl. přenesená",$N$375,0)</f>
        <v>0</v>
      </c>
      <c r="BH375" s="77">
        <f>IF($U$375="sníž. přenesená",$N$375,0)</f>
        <v>0</v>
      </c>
      <c r="BI375" s="77">
        <f>IF($U$375="nulová",$N$375,0)</f>
        <v>0</v>
      </c>
      <c r="BJ375" s="6" t="s">
        <v>17</v>
      </c>
      <c r="BK375" s="77">
        <f>ROUND($L$375*$K$375,2)</f>
        <v>0</v>
      </c>
      <c r="BL375" s="6" t="s">
        <v>221</v>
      </c>
    </row>
    <row r="376" spans="2:51" s="6" customFormat="1" ht="15.75" customHeight="1">
      <c r="B376" s="126"/>
      <c r="E376" s="127"/>
      <c r="F376" s="198" t="s">
        <v>637</v>
      </c>
      <c r="G376" s="199"/>
      <c r="H376" s="199"/>
      <c r="I376" s="199"/>
      <c r="K376" s="128">
        <v>3.2</v>
      </c>
      <c r="R376" s="129"/>
      <c r="T376" s="130"/>
      <c r="AA376" s="131"/>
      <c r="AT376" s="127" t="s">
        <v>167</v>
      </c>
      <c r="AU376" s="127" t="s">
        <v>102</v>
      </c>
      <c r="AV376" s="127" t="s">
        <v>102</v>
      </c>
      <c r="AW376" s="127" t="s">
        <v>109</v>
      </c>
      <c r="AX376" s="127" t="s">
        <v>17</v>
      </c>
      <c r="AY376" s="127" t="s">
        <v>160</v>
      </c>
    </row>
    <row r="377" spans="2:64" s="6" customFormat="1" ht="15.75" customHeight="1">
      <c r="B377" s="21"/>
      <c r="C377" s="138" t="s">
        <v>638</v>
      </c>
      <c r="D377" s="138" t="s">
        <v>276</v>
      </c>
      <c r="E377" s="139" t="s">
        <v>639</v>
      </c>
      <c r="F377" s="202" t="s">
        <v>640</v>
      </c>
      <c r="G377" s="203"/>
      <c r="H377" s="203"/>
      <c r="I377" s="203"/>
      <c r="J377" s="140" t="s">
        <v>173</v>
      </c>
      <c r="K377" s="141">
        <v>3.2</v>
      </c>
      <c r="L377" s="204">
        <v>0</v>
      </c>
      <c r="M377" s="203"/>
      <c r="N377" s="205">
        <f>ROUND($L$377*$K$377,2)</f>
        <v>0</v>
      </c>
      <c r="O377" s="195"/>
      <c r="P377" s="195"/>
      <c r="Q377" s="195"/>
      <c r="R377" s="22"/>
      <c r="T377" s="123"/>
      <c r="U377" s="28" t="s">
        <v>41</v>
      </c>
      <c r="V377" s="124">
        <v>0</v>
      </c>
      <c r="W377" s="124">
        <f>$V$377*$K$377</f>
        <v>0</v>
      </c>
      <c r="X377" s="124">
        <v>0.0001</v>
      </c>
      <c r="Y377" s="124">
        <f>$X$377*$K$377</f>
        <v>0.00032</v>
      </c>
      <c r="Z377" s="124">
        <v>0</v>
      </c>
      <c r="AA377" s="125">
        <f>$Z$377*$K$377</f>
        <v>0</v>
      </c>
      <c r="AR377" s="6" t="s">
        <v>283</v>
      </c>
      <c r="AT377" s="6" t="s">
        <v>276</v>
      </c>
      <c r="AU377" s="6" t="s">
        <v>102</v>
      </c>
      <c r="AY377" s="6" t="s">
        <v>160</v>
      </c>
      <c r="BE377" s="77">
        <f>IF($U$377="základní",$N$377,0)</f>
        <v>0</v>
      </c>
      <c r="BF377" s="77">
        <f>IF($U$377="snížená",$N$377,0)</f>
        <v>0</v>
      </c>
      <c r="BG377" s="77">
        <f>IF($U$377="zákl. přenesená",$N$377,0)</f>
        <v>0</v>
      </c>
      <c r="BH377" s="77">
        <f>IF($U$377="sníž. přenesená",$N$377,0)</f>
        <v>0</v>
      </c>
      <c r="BI377" s="77">
        <f>IF($U$377="nulová",$N$377,0)</f>
        <v>0</v>
      </c>
      <c r="BJ377" s="6" t="s">
        <v>17</v>
      </c>
      <c r="BK377" s="77">
        <f>ROUND($L$377*$K$377,2)</f>
        <v>0</v>
      </c>
      <c r="BL377" s="6" t="s">
        <v>221</v>
      </c>
    </row>
    <row r="378" spans="2:64" s="6" customFormat="1" ht="27" customHeight="1">
      <c r="B378" s="21"/>
      <c r="C378" s="119" t="s">
        <v>641</v>
      </c>
      <c r="D378" s="119" t="s">
        <v>161</v>
      </c>
      <c r="E378" s="120" t="s">
        <v>642</v>
      </c>
      <c r="F378" s="194" t="s">
        <v>643</v>
      </c>
      <c r="G378" s="195"/>
      <c r="H378" s="195"/>
      <c r="I378" s="195"/>
      <c r="J378" s="121" t="s">
        <v>173</v>
      </c>
      <c r="K378" s="122">
        <v>2</v>
      </c>
      <c r="L378" s="196">
        <v>0</v>
      </c>
      <c r="M378" s="195"/>
      <c r="N378" s="197">
        <f>ROUND($L$378*$K$378,2)</f>
        <v>0</v>
      </c>
      <c r="O378" s="195"/>
      <c r="P378" s="195"/>
      <c r="Q378" s="195"/>
      <c r="R378" s="22"/>
      <c r="T378" s="123"/>
      <c r="U378" s="28" t="s">
        <v>41</v>
      </c>
      <c r="V378" s="124">
        <v>0.513</v>
      </c>
      <c r="W378" s="124">
        <f>$V$378*$K$378</f>
        <v>1.026</v>
      </c>
      <c r="X378" s="124">
        <v>0</v>
      </c>
      <c r="Y378" s="124">
        <f>$X$378*$K$378</f>
        <v>0</v>
      </c>
      <c r="Z378" s="124">
        <v>0.016</v>
      </c>
      <c r="AA378" s="125">
        <f>$Z$378*$K$378</f>
        <v>0.032</v>
      </c>
      <c r="AR378" s="6" t="s">
        <v>221</v>
      </c>
      <c r="AT378" s="6" t="s">
        <v>161</v>
      </c>
      <c r="AU378" s="6" t="s">
        <v>102</v>
      </c>
      <c r="AY378" s="6" t="s">
        <v>160</v>
      </c>
      <c r="BE378" s="77">
        <f>IF($U$378="základní",$N$378,0)</f>
        <v>0</v>
      </c>
      <c r="BF378" s="77">
        <f>IF($U$378="snížená",$N$378,0)</f>
        <v>0</v>
      </c>
      <c r="BG378" s="77">
        <f>IF($U$378="zákl. přenesená",$N$378,0)</f>
        <v>0</v>
      </c>
      <c r="BH378" s="77">
        <f>IF($U$378="sníž. přenesená",$N$378,0)</f>
        <v>0</v>
      </c>
      <c r="BI378" s="77">
        <f>IF($U$378="nulová",$N$378,0)</f>
        <v>0</v>
      </c>
      <c r="BJ378" s="6" t="s">
        <v>17</v>
      </c>
      <c r="BK378" s="77">
        <f>ROUND($L$378*$K$378,2)</f>
        <v>0</v>
      </c>
      <c r="BL378" s="6" t="s">
        <v>221</v>
      </c>
    </row>
    <row r="379" spans="2:64" s="6" customFormat="1" ht="27" customHeight="1">
      <c r="B379" s="21"/>
      <c r="C379" s="119" t="s">
        <v>644</v>
      </c>
      <c r="D379" s="119" t="s">
        <v>161</v>
      </c>
      <c r="E379" s="120" t="s">
        <v>645</v>
      </c>
      <c r="F379" s="194" t="s">
        <v>646</v>
      </c>
      <c r="G379" s="195"/>
      <c r="H379" s="195"/>
      <c r="I379" s="195"/>
      <c r="J379" s="121" t="s">
        <v>164</v>
      </c>
      <c r="K379" s="122">
        <v>2</v>
      </c>
      <c r="L379" s="196">
        <v>0</v>
      </c>
      <c r="M379" s="195"/>
      <c r="N379" s="197">
        <f>ROUND($L$379*$K$379,2)</f>
        <v>0</v>
      </c>
      <c r="O379" s="195"/>
      <c r="P379" s="195"/>
      <c r="Q379" s="195"/>
      <c r="R379" s="22"/>
      <c r="T379" s="123"/>
      <c r="U379" s="28" t="s">
        <v>41</v>
      </c>
      <c r="V379" s="124">
        <v>0.48</v>
      </c>
      <c r="W379" s="124">
        <f>$V$379*$K$379</f>
        <v>0.96</v>
      </c>
      <c r="X379" s="124">
        <v>6E-05</v>
      </c>
      <c r="Y379" s="124">
        <f>$X$379*$K$379</f>
        <v>0.00012</v>
      </c>
      <c r="Z379" s="124">
        <v>0</v>
      </c>
      <c r="AA379" s="125">
        <f>$Z$379*$K$379</f>
        <v>0</v>
      </c>
      <c r="AR379" s="6" t="s">
        <v>221</v>
      </c>
      <c r="AT379" s="6" t="s">
        <v>161</v>
      </c>
      <c r="AU379" s="6" t="s">
        <v>102</v>
      </c>
      <c r="AY379" s="6" t="s">
        <v>160</v>
      </c>
      <c r="BE379" s="77">
        <f>IF($U$379="základní",$N$379,0)</f>
        <v>0</v>
      </c>
      <c r="BF379" s="77">
        <f>IF($U$379="snížená",$N$379,0)</f>
        <v>0</v>
      </c>
      <c r="BG379" s="77">
        <f>IF($U$379="zákl. přenesená",$N$379,0)</f>
        <v>0</v>
      </c>
      <c r="BH379" s="77">
        <f>IF($U$379="sníž. přenesená",$N$379,0)</f>
        <v>0</v>
      </c>
      <c r="BI379" s="77">
        <f>IF($U$379="nulová",$N$379,0)</f>
        <v>0</v>
      </c>
      <c r="BJ379" s="6" t="s">
        <v>17</v>
      </c>
      <c r="BK379" s="77">
        <f>ROUND($L$379*$K$379,2)</f>
        <v>0</v>
      </c>
      <c r="BL379" s="6" t="s">
        <v>221</v>
      </c>
    </row>
    <row r="380" spans="2:64" s="6" customFormat="1" ht="27" customHeight="1">
      <c r="B380" s="21"/>
      <c r="C380" s="119" t="s">
        <v>647</v>
      </c>
      <c r="D380" s="119" t="s">
        <v>161</v>
      </c>
      <c r="E380" s="120" t="s">
        <v>648</v>
      </c>
      <c r="F380" s="194" t="s">
        <v>649</v>
      </c>
      <c r="G380" s="195"/>
      <c r="H380" s="195"/>
      <c r="I380" s="195"/>
      <c r="J380" s="121" t="s">
        <v>472</v>
      </c>
      <c r="K380" s="142">
        <v>0</v>
      </c>
      <c r="L380" s="196">
        <v>0</v>
      </c>
      <c r="M380" s="195"/>
      <c r="N380" s="197">
        <f>ROUND($L$380*$K$380,2)</f>
        <v>0</v>
      </c>
      <c r="O380" s="195"/>
      <c r="P380" s="195"/>
      <c r="Q380" s="195"/>
      <c r="R380" s="22"/>
      <c r="T380" s="123"/>
      <c r="U380" s="28" t="s">
        <v>41</v>
      </c>
      <c r="V380" s="124">
        <v>0</v>
      </c>
      <c r="W380" s="124">
        <f>$V$380*$K$380</f>
        <v>0</v>
      </c>
      <c r="X380" s="124">
        <v>0</v>
      </c>
      <c r="Y380" s="124">
        <f>$X$380*$K$380</f>
        <v>0</v>
      </c>
      <c r="Z380" s="124">
        <v>0</v>
      </c>
      <c r="AA380" s="125">
        <f>$Z$380*$K$380</f>
        <v>0</v>
      </c>
      <c r="AR380" s="6" t="s">
        <v>221</v>
      </c>
      <c r="AT380" s="6" t="s">
        <v>161</v>
      </c>
      <c r="AU380" s="6" t="s">
        <v>102</v>
      </c>
      <c r="AY380" s="6" t="s">
        <v>160</v>
      </c>
      <c r="BE380" s="77">
        <f>IF($U$380="základní",$N$380,0)</f>
        <v>0</v>
      </c>
      <c r="BF380" s="77">
        <f>IF($U$380="snížená",$N$380,0)</f>
        <v>0</v>
      </c>
      <c r="BG380" s="77">
        <f>IF($U$380="zákl. přenesená",$N$380,0)</f>
        <v>0</v>
      </c>
      <c r="BH380" s="77">
        <f>IF($U$380="sníž. přenesená",$N$380,0)</f>
        <v>0</v>
      </c>
      <c r="BI380" s="77">
        <f>IF($U$380="nulová",$N$380,0)</f>
        <v>0</v>
      </c>
      <c r="BJ380" s="6" t="s">
        <v>17</v>
      </c>
      <c r="BK380" s="77">
        <f>ROUND($L$380*$K$380,2)</f>
        <v>0</v>
      </c>
      <c r="BL380" s="6" t="s">
        <v>221</v>
      </c>
    </row>
    <row r="381" spans="2:63" s="109" customFormat="1" ht="30.75" customHeight="1">
      <c r="B381" s="110"/>
      <c r="D381" s="118" t="s">
        <v>132</v>
      </c>
      <c r="N381" s="210">
        <f>$BK$381</f>
        <v>0</v>
      </c>
      <c r="O381" s="209"/>
      <c r="P381" s="209"/>
      <c r="Q381" s="209"/>
      <c r="R381" s="113"/>
      <c r="T381" s="114"/>
      <c r="W381" s="115">
        <f>SUM($W$382:$W$402)</f>
        <v>44.643980000000006</v>
      </c>
      <c r="Y381" s="115">
        <f>SUM($Y$382:$Y$402)</f>
        <v>1.3014646</v>
      </c>
      <c r="AA381" s="116">
        <f>SUM($AA$382:$AA$402)</f>
        <v>0</v>
      </c>
      <c r="AR381" s="112" t="s">
        <v>102</v>
      </c>
      <c r="AT381" s="112" t="s">
        <v>75</v>
      </c>
      <c r="AU381" s="112" t="s">
        <v>17</v>
      </c>
      <c r="AY381" s="112" t="s">
        <v>160</v>
      </c>
      <c r="BK381" s="117">
        <f>SUM($BK$382:$BK$402)</f>
        <v>0</v>
      </c>
    </row>
    <row r="382" spans="2:64" s="6" customFormat="1" ht="27" customHeight="1">
      <c r="B382" s="21"/>
      <c r="C382" s="119" t="s">
        <v>650</v>
      </c>
      <c r="D382" s="119" t="s">
        <v>161</v>
      </c>
      <c r="E382" s="120" t="s">
        <v>651</v>
      </c>
      <c r="F382" s="194" t="s">
        <v>652</v>
      </c>
      <c r="G382" s="195"/>
      <c r="H382" s="195"/>
      <c r="I382" s="195"/>
      <c r="J382" s="121" t="s">
        <v>173</v>
      </c>
      <c r="K382" s="122">
        <v>6</v>
      </c>
      <c r="L382" s="196">
        <v>0</v>
      </c>
      <c r="M382" s="195"/>
      <c r="N382" s="197">
        <f>ROUND($L$382*$K$382,2)</f>
        <v>0</v>
      </c>
      <c r="O382" s="195"/>
      <c r="P382" s="195"/>
      <c r="Q382" s="195"/>
      <c r="R382" s="22"/>
      <c r="T382" s="123"/>
      <c r="U382" s="28" t="s">
        <v>41</v>
      </c>
      <c r="V382" s="124">
        <v>0.988</v>
      </c>
      <c r="W382" s="124">
        <f>$V$382*$K$382</f>
        <v>5.928</v>
      </c>
      <c r="X382" s="124">
        <v>0.01212</v>
      </c>
      <c r="Y382" s="124">
        <f>$X$382*$K$382</f>
        <v>0.07272</v>
      </c>
      <c r="Z382" s="124">
        <v>0</v>
      </c>
      <c r="AA382" s="125">
        <f>$Z$382*$K$382</f>
        <v>0</v>
      </c>
      <c r="AR382" s="6" t="s">
        <v>221</v>
      </c>
      <c r="AT382" s="6" t="s">
        <v>161</v>
      </c>
      <c r="AU382" s="6" t="s">
        <v>102</v>
      </c>
      <c r="AY382" s="6" t="s">
        <v>160</v>
      </c>
      <c r="BE382" s="77">
        <f>IF($U$382="základní",$N$382,0)</f>
        <v>0</v>
      </c>
      <c r="BF382" s="77">
        <f>IF($U$382="snížená",$N$382,0)</f>
        <v>0</v>
      </c>
      <c r="BG382" s="77">
        <f>IF($U$382="zákl. přenesená",$N$382,0)</f>
        <v>0</v>
      </c>
      <c r="BH382" s="77">
        <f>IF($U$382="sníž. přenesená",$N$382,0)</f>
        <v>0</v>
      </c>
      <c r="BI382" s="77">
        <f>IF($U$382="nulová",$N$382,0)</f>
        <v>0</v>
      </c>
      <c r="BJ382" s="6" t="s">
        <v>17</v>
      </c>
      <c r="BK382" s="77">
        <f>ROUND($L$382*$K$382,2)</f>
        <v>0</v>
      </c>
      <c r="BL382" s="6" t="s">
        <v>221</v>
      </c>
    </row>
    <row r="383" spans="2:64" s="6" customFormat="1" ht="39" customHeight="1">
      <c r="B383" s="21"/>
      <c r="C383" s="119" t="s">
        <v>653</v>
      </c>
      <c r="D383" s="119" t="s">
        <v>161</v>
      </c>
      <c r="E383" s="120" t="s">
        <v>654</v>
      </c>
      <c r="F383" s="194" t="s">
        <v>655</v>
      </c>
      <c r="G383" s="195"/>
      <c r="H383" s="195"/>
      <c r="I383" s="195"/>
      <c r="J383" s="121" t="s">
        <v>173</v>
      </c>
      <c r="K383" s="122">
        <v>8</v>
      </c>
      <c r="L383" s="196">
        <v>0</v>
      </c>
      <c r="M383" s="195"/>
      <c r="N383" s="197">
        <f>ROUND($L$383*$K$383,2)</f>
        <v>0</v>
      </c>
      <c r="O383" s="195"/>
      <c r="P383" s="195"/>
      <c r="Q383" s="195"/>
      <c r="R383" s="22"/>
      <c r="T383" s="123"/>
      <c r="U383" s="28" t="s">
        <v>41</v>
      </c>
      <c r="V383" s="124">
        <v>0.507</v>
      </c>
      <c r="W383" s="124">
        <f>$V$383*$K$383</f>
        <v>4.056</v>
      </c>
      <c r="X383" s="124">
        <v>0.00641</v>
      </c>
      <c r="Y383" s="124">
        <f>$X$383*$K$383</f>
        <v>0.05128</v>
      </c>
      <c r="Z383" s="124">
        <v>0</v>
      </c>
      <c r="AA383" s="125">
        <f>$Z$383*$K$383</f>
        <v>0</v>
      </c>
      <c r="AR383" s="6" t="s">
        <v>221</v>
      </c>
      <c r="AT383" s="6" t="s">
        <v>161</v>
      </c>
      <c r="AU383" s="6" t="s">
        <v>102</v>
      </c>
      <c r="AY383" s="6" t="s">
        <v>160</v>
      </c>
      <c r="BE383" s="77">
        <f>IF($U$383="základní",$N$383,0)</f>
        <v>0</v>
      </c>
      <c r="BF383" s="77">
        <f>IF($U$383="snížená",$N$383,0)</f>
        <v>0</v>
      </c>
      <c r="BG383" s="77">
        <f>IF($U$383="zákl. přenesená",$N$383,0)</f>
        <v>0</v>
      </c>
      <c r="BH383" s="77">
        <f>IF($U$383="sníž. přenesená",$N$383,0)</f>
        <v>0</v>
      </c>
      <c r="BI383" s="77">
        <f>IF($U$383="nulová",$N$383,0)</f>
        <v>0</v>
      </c>
      <c r="BJ383" s="6" t="s">
        <v>17</v>
      </c>
      <c r="BK383" s="77">
        <f>ROUND($L$383*$K$383,2)</f>
        <v>0</v>
      </c>
      <c r="BL383" s="6" t="s">
        <v>221</v>
      </c>
    </row>
    <row r="384" spans="2:64" s="6" customFormat="1" ht="15.75" customHeight="1">
      <c r="B384" s="21"/>
      <c r="C384" s="138" t="s">
        <v>656</v>
      </c>
      <c r="D384" s="138" t="s">
        <v>276</v>
      </c>
      <c r="E384" s="139" t="s">
        <v>657</v>
      </c>
      <c r="F384" s="202" t="s">
        <v>658</v>
      </c>
      <c r="G384" s="203"/>
      <c r="H384" s="203"/>
      <c r="I384" s="203"/>
      <c r="J384" s="140" t="s">
        <v>164</v>
      </c>
      <c r="K384" s="141">
        <v>3.476</v>
      </c>
      <c r="L384" s="204">
        <v>0</v>
      </c>
      <c r="M384" s="203"/>
      <c r="N384" s="205">
        <f>ROUND($L$384*$K$384,2)</f>
        <v>0</v>
      </c>
      <c r="O384" s="195"/>
      <c r="P384" s="195"/>
      <c r="Q384" s="195"/>
      <c r="R384" s="22"/>
      <c r="T384" s="123"/>
      <c r="U384" s="28" t="s">
        <v>41</v>
      </c>
      <c r="V384" s="124">
        <v>0</v>
      </c>
      <c r="W384" s="124">
        <f>$V$384*$K$384</f>
        <v>0</v>
      </c>
      <c r="X384" s="124">
        <v>0.0155</v>
      </c>
      <c r="Y384" s="124">
        <f>$X$384*$K$384</f>
        <v>0.053878</v>
      </c>
      <c r="Z384" s="124">
        <v>0</v>
      </c>
      <c r="AA384" s="125">
        <f>$Z$384*$K$384</f>
        <v>0</v>
      </c>
      <c r="AR384" s="6" t="s">
        <v>283</v>
      </c>
      <c r="AT384" s="6" t="s">
        <v>276</v>
      </c>
      <c r="AU384" s="6" t="s">
        <v>102</v>
      </c>
      <c r="AY384" s="6" t="s">
        <v>160</v>
      </c>
      <c r="BE384" s="77">
        <f>IF($U$384="základní",$N$384,0)</f>
        <v>0</v>
      </c>
      <c r="BF384" s="77">
        <f>IF($U$384="snížená",$N$384,0)</f>
        <v>0</v>
      </c>
      <c r="BG384" s="77">
        <f>IF($U$384="zákl. přenesená",$N$384,0)</f>
        <v>0</v>
      </c>
      <c r="BH384" s="77">
        <f>IF($U$384="sníž. přenesená",$N$384,0)</f>
        <v>0</v>
      </c>
      <c r="BI384" s="77">
        <f>IF($U$384="nulová",$N$384,0)</f>
        <v>0</v>
      </c>
      <c r="BJ384" s="6" t="s">
        <v>17</v>
      </c>
      <c r="BK384" s="77">
        <f>ROUND($L$384*$K$384,2)</f>
        <v>0</v>
      </c>
      <c r="BL384" s="6" t="s">
        <v>221</v>
      </c>
    </row>
    <row r="385" spans="2:51" s="6" customFormat="1" ht="15.75" customHeight="1">
      <c r="B385" s="126"/>
      <c r="E385" s="127"/>
      <c r="F385" s="198" t="s">
        <v>659</v>
      </c>
      <c r="G385" s="199"/>
      <c r="H385" s="199"/>
      <c r="I385" s="199"/>
      <c r="K385" s="128">
        <v>3.16</v>
      </c>
      <c r="R385" s="129"/>
      <c r="T385" s="130"/>
      <c r="AA385" s="131"/>
      <c r="AT385" s="127" t="s">
        <v>167</v>
      </c>
      <c r="AU385" s="127" t="s">
        <v>102</v>
      </c>
      <c r="AV385" s="127" t="s">
        <v>102</v>
      </c>
      <c r="AW385" s="127" t="s">
        <v>109</v>
      </c>
      <c r="AX385" s="127" t="s">
        <v>17</v>
      </c>
      <c r="AY385" s="127" t="s">
        <v>160</v>
      </c>
    </row>
    <row r="386" spans="2:64" s="6" customFormat="1" ht="27" customHeight="1">
      <c r="B386" s="21"/>
      <c r="C386" s="119" t="s">
        <v>660</v>
      </c>
      <c r="D386" s="119" t="s">
        <v>161</v>
      </c>
      <c r="E386" s="120" t="s">
        <v>661</v>
      </c>
      <c r="F386" s="194" t="s">
        <v>662</v>
      </c>
      <c r="G386" s="195"/>
      <c r="H386" s="195"/>
      <c r="I386" s="195"/>
      <c r="J386" s="121" t="s">
        <v>173</v>
      </c>
      <c r="K386" s="122">
        <v>20</v>
      </c>
      <c r="L386" s="196">
        <v>0</v>
      </c>
      <c r="M386" s="195"/>
      <c r="N386" s="197">
        <f>ROUND($L$386*$K$386,2)</f>
        <v>0</v>
      </c>
      <c r="O386" s="195"/>
      <c r="P386" s="195"/>
      <c r="Q386" s="195"/>
      <c r="R386" s="22"/>
      <c r="T386" s="123"/>
      <c r="U386" s="28" t="s">
        <v>41</v>
      </c>
      <c r="V386" s="124">
        <v>0.332</v>
      </c>
      <c r="W386" s="124">
        <f>$V$386*$K$386</f>
        <v>6.640000000000001</v>
      </c>
      <c r="X386" s="124">
        <v>0.00469</v>
      </c>
      <c r="Y386" s="124">
        <f>$X$386*$K$386</f>
        <v>0.0938</v>
      </c>
      <c r="Z386" s="124">
        <v>0</v>
      </c>
      <c r="AA386" s="125">
        <f>$Z$386*$K$386</f>
        <v>0</v>
      </c>
      <c r="AR386" s="6" t="s">
        <v>221</v>
      </c>
      <c r="AT386" s="6" t="s">
        <v>161</v>
      </c>
      <c r="AU386" s="6" t="s">
        <v>102</v>
      </c>
      <c r="AY386" s="6" t="s">
        <v>160</v>
      </c>
      <c r="BE386" s="77">
        <f>IF($U$386="základní",$N$386,0)</f>
        <v>0</v>
      </c>
      <c r="BF386" s="77">
        <f>IF($U$386="snížená",$N$386,0)</f>
        <v>0</v>
      </c>
      <c r="BG386" s="77">
        <f>IF($U$386="zákl. přenesená",$N$386,0)</f>
        <v>0</v>
      </c>
      <c r="BH386" s="77">
        <f>IF($U$386="sníž. přenesená",$N$386,0)</f>
        <v>0</v>
      </c>
      <c r="BI386" s="77">
        <f>IF($U$386="nulová",$N$386,0)</f>
        <v>0</v>
      </c>
      <c r="BJ386" s="6" t="s">
        <v>17</v>
      </c>
      <c r="BK386" s="77">
        <f>ROUND($L$386*$K$386,2)</f>
        <v>0</v>
      </c>
      <c r="BL386" s="6" t="s">
        <v>221</v>
      </c>
    </row>
    <row r="387" spans="2:51" s="6" customFormat="1" ht="15.75" customHeight="1">
      <c r="B387" s="126"/>
      <c r="E387" s="127"/>
      <c r="F387" s="198" t="s">
        <v>663</v>
      </c>
      <c r="G387" s="199"/>
      <c r="H387" s="199"/>
      <c r="I387" s="199"/>
      <c r="K387" s="128">
        <v>20</v>
      </c>
      <c r="R387" s="129"/>
      <c r="T387" s="130"/>
      <c r="AA387" s="131"/>
      <c r="AT387" s="127" t="s">
        <v>167</v>
      </c>
      <c r="AU387" s="127" t="s">
        <v>102</v>
      </c>
      <c r="AV387" s="127" t="s">
        <v>102</v>
      </c>
      <c r="AW387" s="127" t="s">
        <v>109</v>
      </c>
      <c r="AX387" s="127" t="s">
        <v>17</v>
      </c>
      <c r="AY387" s="127" t="s">
        <v>160</v>
      </c>
    </row>
    <row r="388" spans="2:64" s="6" customFormat="1" ht="15.75" customHeight="1">
      <c r="B388" s="21"/>
      <c r="C388" s="138" t="s">
        <v>664</v>
      </c>
      <c r="D388" s="138" t="s">
        <v>276</v>
      </c>
      <c r="E388" s="139" t="s">
        <v>665</v>
      </c>
      <c r="F388" s="202" t="s">
        <v>666</v>
      </c>
      <c r="G388" s="203"/>
      <c r="H388" s="203"/>
      <c r="I388" s="203"/>
      <c r="J388" s="140" t="s">
        <v>164</v>
      </c>
      <c r="K388" s="141">
        <v>2.64</v>
      </c>
      <c r="L388" s="204">
        <v>0</v>
      </c>
      <c r="M388" s="203"/>
      <c r="N388" s="205">
        <f>ROUND($L$388*$K$388,2)</f>
        <v>0</v>
      </c>
      <c r="O388" s="195"/>
      <c r="P388" s="195"/>
      <c r="Q388" s="195"/>
      <c r="R388" s="22"/>
      <c r="T388" s="123"/>
      <c r="U388" s="28" t="s">
        <v>41</v>
      </c>
      <c r="V388" s="124">
        <v>0</v>
      </c>
      <c r="W388" s="124">
        <f>$V$388*$K$388</f>
        <v>0</v>
      </c>
      <c r="X388" s="124">
        <v>0.018</v>
      </c>
      <c r="Y388" s="124">
        <f>$X$388*$K$388</f>
        <v>0.04752</v>
      </c>
      <c r="Z388" s="124">
        <v>0</v>
      </c>
      <c r="AA388" s="125">
        <f>$Z$388*$K$388</f>
        <v>0</v>
      </c>
      <c r="AR388" s="6" t="s">
        <v>283</v>
      </c>
      <c r="AT388" s="6" t="s">
        <v>276</v>
      </c>
      <c r="AU388" s="6" t="s">
        <v>102</v>
      </c>
      <c r="AY388" s="6" t="s">
        <v>160</v>
      </c>
      <c r="BE388" s="77">
        <f>IF($U$388="základní",$N$388,0)</f>
        <v>0</v>
      </c>
      <c r="BF388" s="77">
        <f>IF($U$388="snížená",$N$388,0)</f>
        <v>0</v>
      </c>
      <c r="BG388" s="77">
        <f>IF($U$388="zákl. přenesená",$N$388,0)</f>
        <v>0</v>
      </c>
      <c r="BH388" s="77">
        <f>IF($U$388="sníž. přenesená",$N$388,0)</f>
        <v>0</v>
      </c>
      <c r="BI388" s="77">
        <f>IF($U$388="nulová",$N$388,0)</f>
        <v>0</v>
      </c>
      <c r="BJ388" s="6" t="s">
        <v>17</v>
      </c>
      <c r="BK388" s="77">
        <f>ROUND($L$388*$K$388,2)</f>
        <v>0</v>
      </c>
      <c r="BL388" s="6" t="s">
        <v>221</v>
      </c>
    </row>
    <row r="389" spans="2:51" s="6" customFormat="1" ht="15.75" customHeight="1">
      <c r="B389" s="126"/>
      <c r="E389" s="127"/>
      <c r="F389" s="198" t="s">
        <v>667</v>
      </c>
      <c r="G389" s="199"/>
      <c r="H389" s="199"/>
      <c r="I389" s="199"/>
      <c r="K389" s="128">
        <v>2.4</v>
      </c>
      <c r="R389" s="129"/>
      <c r="T389" s="130"/>
      <c r="AA389" s="131"/>
      <c r="AT389" s="127" t="s">
        <v>167</v>
      </c>
      <c r="AU389" s="127" t="s">
        <v>102</v>
      </c>
      <c r="AV389" s="127" t="s">
        <v>102</v>
      </c>
      <c r="AW389" s="127" t="s">
        <v>109</v>
      </c>
      <c r="AX389" s="127" t="s">
        <v>17</v>
      </c>
      <c r="AY389" s="127" t="s">
        <v>160</v>
      </c>
    </row>
    <row r="390" spans="2:64" s="6" customFormat="1" ht="27" customHeight="1">
      <c r="B390" s="21"/>
      <c r="C390" s="119" t="s">
        <v>668</v>
      </c>
      <c r="D390" s="119" t="s">
        <v>161</v>
      </c>
      <c r="E390" s="120" t="s">
        <v>669</v>
      </c>
      <c r="F390" s="194" t="s">
        <v>670</v>
      </c>
      <c r="G390" s="195"/>
      <c r="H390" s="195"/>
      <c r="I390" s="195"/>
      <c r="J390" s="121" t="s">
        <v>173</v>
      </c>
      <c r="K390" s="122">
        <v>5.2</v>
      </c>
      <c r="L390" s="196">
        <v>0</v>
      </c>
      <c r="M390" s="195"/>
      <c r="N390" s="197">
        <f>ROUND($L$390*$K$390,2)</f>
        <v>0</v>
      </c>
      <c r="O390" s="195"/>
      <c r="P390" s="195"/>
      <c r="Q390" s="195"/>
      <c r="R390" s="22"/>
      <c r="T390" s="123"/>
      <c r="U390" s="28" t="s">
        <v>41</v>
      </c>
      <c r="V390" s="124">
        <v>0.448</v>
      </c>
      <c r="W390" s="124">
        <f>$V$390*$K$390</f>
        <v>2.3296</v>
      </c>
      <c r="X390" s="124">
        <v>0.00376</v>
      </c>
      <c r="Y390" s="124">
        <f>$X$390*$K$390</f>
        <v>0.019552</v>
      </c>
      <c r="Z390" s="124">
        <v>0</v>
      </c>
      <c r="AA390" s="125">
        <f>$Z$390*$K$390</f>
        <v>0</v>
      </c>
      <c r="AR390" s="6" t="s">
        <v>221</v>
      </c>
      <c r="AT390" s="6" t="s">
        <v>161</v>
      </c>
      <c r="AU390" s="6" t="s">
        <v>102</v>
      </c>
      <c r="AY390" s="6" t="s">
        <v>160</v>
      </c>
      <c r="BE390" s="77">
        <f>IF($U$390="základní",$N$390,0)</f>
        <v>0</v>
      </c>
      <c r="BF390" s="77">
        <f>IF($U$390="snížená",$N$390,0)</f>
        <v>0</v>
      </c>
      <c r="BG390" s="77">
        <f>IF($U$390="zákl. přenesená",$N$390,0)</f>
        <v>0</v>
      </c>
      <c r="BH390" s="77">
        <f>IF($U$390="sníž. přenesená",$N$390,0)</f>
        <v>0</v>
      </c>
      <c r="BI390" s="77">
        <f>IF($U$390="nulová",$N$390,0)</f>
        <v>0</v>
      </c>
      <c r="BJ390" s="6" t="s">
        <v>17</v>
      </c>
      <c r="BK390" s="77">
        <f>ROUND($L$390*$K$390,2)</f>
        <v>0</v>
      </c>
      <c r="BL390" s="6" t="s">
        <v>221</v>
      </c>
    </row>
    <row r="391" spans="2:51" s="6" customFormat="1" ht="15.75" customHeight="1">
      <c r="B391" s="126"/>
      <c r="E391" s="127"/>
      <c r="F391" s="198" t="s">
        <v>671</v>
      </c>
      <c r="G391" s="199"/>
      <c r="H391" s="199"/>
      <c r="I391" s="199"/>
      <c r="K391" s="128">
        <v>5.2</v>
      </c>
      <c r="R391" s="129"/>
      <c r="T391" s="130"/>
      <c r="AA391" s="131"/>
      <c r="AT391" s="127" t="s">
        <v>167</v>
      </c>
      <c r="AU391" s="127" t="s">
        <v>102</v>
      </c>
      <c r="AV391" s="127" t="s">
        <v>102</v>
      </c>
      <c r="AW391" s="127" t="s">
        <v>109</v>
      </c>
      <c r="AX391" s="127" t="s">
        <v>17</v>
      </c>
      <c r="AY391" s="127" t="s">
        <v>160</v>
      </c>
    </row>
    <row r="392" spans="2:64" s="6" customFormat="1" ht="15.75" customHeight="1">
      <c r="B392" s="21"/>
      <c r="C392" s="138" t="s">
        <v>672</v>
      </c>
      <c r="D392" s="138" t="s">
        <v>276</v>
      </c>
      <c r="E392" s="139" t="s">
        <v>657</v>
      </c>
      <c r="F392" s="202" t="s">
        <v>658</v>
      </c>
      <c r="G392" s="203"/>
      <c r="H392" s="203"/>
      <c r="I392" s="203"/>
      <c r="J392" s="140" t="s">
        <v>164</v>
      </c>
      <c r="K392" s="141">
        <v>0.624</v>
      </c>
      <c r="L392" s="204">
        <v>0</v>
      </c>
      <c r="M392" s="203"/>
      <c r="N392" s="205">
        <f>ROUND($L$392*$K$392,2)</f>
        <v>0</v>
      </c>
      <c r="O392" s="195"/>
      <c r="P392" s="195"/>
      <c r="Q392" s="195"/>
      <c r="R392" s="22"/>
      <c r="T392" s="123"/>
      <c r="U392" s="28" t="s">
        <v>41</v>
      </c>
      <c r="V392" s="124">
        <v>0</v>
      </c>
      <c r="W392" s="124">
        <f>$V$392*$K$392</f>
        <v>0</v>
      </c>
      <c r="X392" s="124">
        <v>0.0155</v>
      </c>
      <c r="Y392" s="124">
        <f>$X$392*$K$392</f>
        <v>0.009672</v>
      </c>
      <c r="Z392" s="124">
        <v>0</v>
      </c>
      <c r="AA392" s="125">
        <f>$Z$392*$K$392</f>
        <v>0</v>
      </c>
      <c r="AR392" s="6" t="s">
        <v>283</v>
      </c>
      <c r="AT392" s="6" t="s">
        <v>276</v>
      </c>
      <c r="AU392" s="6" t="s">
        <v>102</v>
      </c>
      <c r="AY392" s="6" t="s">
        <v>160</v>
      </c>
      <c r="BE392" s="77">
        <f>IF($U$392="základní",$N$392,0)</f>
        <v>0</v>
      </c>
      <c r="BF392" s="77">
        <f>IF($U$392="snížená",$N$392,0)</f>
        <v>0</v>
      </c>
      <c r="BG392" s="77">
        <f>IF($U$392="zákl. přenesená",$N$392,0)</f>
        <v>0</v>
      </c>
      <c r="BH392" s="77">
        <f>IF($U$392="sníž. přenesená",$N$392,0)</f>
        <v>0</v>
      </c>
      <c r="BI392" s="77">
        <f>IF($U$392="nulová",$N$392,0)</f>
        <v>0</v>
      </c>
      <c r="BJ392" s="6" t="s">
        <v>17</v>
      </c>
      <c r="BK392" s="77">
        <f>ROUND($L$392*$K$392,2)</f>
        <v>0</v>
      </c>
      <c r="BL392" s="6" t="s">
        <v>221</v>
      </c>
    </row>
    <row r="393" spans="2:51" s="6" customFormat="1" ht="15.75" customHeight="1">
      <c r="B393" s="126"/>
      <c r="E393" s="127"/>
      <c r="F393" s="198" t="s">
        <v>673</v>
      </c>
      <c r="G393" s="199"/>
      <c r="H393" s="199"/>
      <c r="I393" s="199"/>
      <c r="K393" s="128">
        <v>0.624</v>
      </c>
      <c r="R393" s="129"/>
      <c r="T393" s="130"/>
      <c r="AA393" s="131"/>
      <c r="AT393" s="127" t="s">
        <v>167</v>
      </c>
      <c r="AU393" s="127" t="s">
        <v>102</v>
      </c>
      <c r="AV393" s="127" t="s">
        <v>102</v>
      </c>
      <c r="AW393" s="127" t="s">
        <v>109</v>
      </c>
      <c r="AX393" s="127" t="s">
        <v>17</v>
      </c>
      <c r="AY393" s="127" t="s">
        <v>160</v>
      </c>
    </row>
    <row r="394" spans="2:64" s="6" customFormat="1" ht="27" customHeight="1">
      <c r="B394" s="21"/>
      <c r="C394" s="119" t="s">
        <v>674</v>
      </c>
      <c r="D394" s="119" t="s">
        <v>161</v>
      </c>
      <c r="E394" s="120" t="s">
        <v>675</v>
      </c>
      <c r="F394" s="194" t="s">
        <v>676</v>
      </c>
      <c r="G394" s="195"/>
      <c r="H394" s="195"/>
      <c r="I394" s="195"/>
      <c r="J394" s="121" t="s">
        <v>164</v>
      </c>
      <c r="K394" s="122">
        <v>17.7</v>
      </c>
      <c r="L394" s="196">
        <v>0</v>
      </c>
      <c r="M394" s="195"/>
      <c r="N394" s="197">
        <f>ROUND($L$394*$K$394,2)</f>
        <v>0</v>
      </c>
      <c r="O394" s="195"/>
      <c r="P394" s="195"/>
      <c r="Q394" s="195"/>
      <c r="R394" s="22"/>
      <c r="T394" s="123"/>
      <c r="U394" s="28" t="s">
        <v>41</v>
      </c>
      <c r="V394" s="124">
        <v>1.099</v>
      </c>
      <c r="W394" s="124">
        <f>$V$394*$K$394</f>
        <v>19.452299999999997</v>
      </c>
      <c r="X394" s="124">
        <v>0.03767</v>
      </c>
      <c r="Y394" s="124">
        <f>$X$394*$K$394</f>
        <v>0.666759</v>
      </c>
      <c r="Z394" s="124">
        <v>0</v>
      </c>
      <c r="AA394" s="125">
        <f>$Z$394*$K$394</f>
        <v>0</v>
      </c>
      <c r="AR394" s="6" t="s">
        <v>221</v>
      </c>
      <c r="AT394" s="6" t="s">
        <v>161</v>
      </c>
      <c r="AU394" s="6" t="s">
        <v>102</v>
      </c>
      <c r="AY394" s="6" t="s">
        <v>160</v>
      </c>
      <c r="BE394" s="77">
        <f>IF($U$394="základní",$N$394,0)</f>
        <v>0</v>
      </c>
      <c r="BF394" s="77">
        <f>IF($U$394="snížená",$N$394,0)</f>
        <v>0</v>
      </c>
      <c r="BG394" s="77">
        <f>IF($U$394="zákl. přenesená",$N$394,0)</f>
        <v>0</v>
      </c>
      <c r="BH394" s="77">
        <f>IF($U$394="sníž. přenesená",$N$394,0)</f>
        <v>0</v>
      </c>
      <c r="BI394" s="77">
        <f>IF($U$394="nulová",$N$394,0)</f>
        <v>0</v>
      </c>
      <c r="BJ394" s="6" t="s">
        <v>17</v>
      </c>
      <c r="BK394" s="77">
        <f>ROUND($L$394*$K$394,2)</f>
        <v>0</v>
      </c>
      <c r="BL394" s="6" t="s">
        <v>221</v>
      </c>
    </row>
    <row r="395" spans="2:51" s="6" customFormat="1" ht="15.75" customHeight="1">
      <c r="B395" s="126"/>
      <c r="E395" s="127"/>
      <c r="F395" s="198" t="s">
        <v>559</v>
      </c>
      <c r="G395" s="199"/>
      <c r="H395" s="199"/>
      <c r="I395" s="199"/>
      <c r="K395" s="128">
        <v>17.7</v>
      </c>
      <c r="R395" s="129"/>
      <c r="T395" s="130"/>
      <c r="AA395" s="131"/>
      <c r="AT395" s="127" t="s">
        <v>167</v>
      </c>
      <c r="AU395" s="127" t="s">
        <v>102</v>
      </c>
      <c r="AV395" s="127" t="s">
        <v>102</v>
      </c>
      <c r="AW395" s="127" t="s">
        <v>109</v>
      </c>
      <c r="AX395" s="127" t="s">
        <v>17</v>
      </c>
      <c r="AY395" s="127" t="s">
        <v>160</v>
      </c>
    </row>
    <row r="396" spans="2:64" s="6" customFormat="1" ht="15.75" customHeight="1">
      <c r="B396" s="21"/>
      <c r="C396" s="138" t="s">
        <v>677</v>
      </c>
      <c r="D396" s="138" t="s">
        <v>276</v>
      </c>
      <c r="E396" s="139" t="s">
        <v>678</v>
      </c>
      <c r="F396" s="202" t="s">
        <v>679</v>
      </c>
      <c r="G396" s="203"/>
      <c r="H396" s="203"/>
      <c r="I396" s="203"/>
      <c r="J396" s="140" t="s">
        <v>164</v>
      </c>
      <c r="K396" s="141">
        <v>19.47</v>
      </c>
      <c r="L396" s="204">
        <v>0</v>
      </c>
      <c r="M396" s="203"/>
      <c r="N396" s="205">
        <f>ROUND($L$396*$K$396,2)</f>
        <v>0</v>
      </c>
      <c r="O396" s="195"/>
      <c r="P396" s="195"/>
      <c r="Q396" s="195"/>
      <c r="R396" s="22"/>
      <c r="T396" s="123"/>
      <c r="U396" s="28" t="s">
        <v>41</v>
      </c>
      <c r="V396" s="124">
        <v>0</v>
      </c>
      <c r="W396" s="124">
        <f>$V$396*$K$396</f>
        <v>0</v>
      </c>
      <c r="X396" s="124">
        <v>0.0118</v>
      </c>
      <c r="Y396" s="124">
        <f>$X$396*$K$396</f>
        <v>0.22974599999999998</v>
      </c>
      <c r="Z396" s="124">
        <v>0</v>
      </c>
      <c r="AA396" s="125">
        <f>$Z$396*$K$396</f>
        <v>0</v>
      </c>
      <c r="AR396" s="6" t="s">
        <v>283</v>
      </c>
      <c r="AT396" s="6" t="s">
        <v>276</v>
      </c>
      <c r="AU396" s="6" t="s">
        <v>102</v>
      </c>
      <c r="AY396" s="6" t="s">
        <v>160</v>
      </c>
      <c r="BE396" s="77">
        <f>IF($U$396="základní",$N$396,0)</f>
        <v>0</v>
      </c>
      <c r="BF396" s="77">
        <f>IF($U$396="snížená",$N$396,0)</f>
        <v>0</v>
      </c>
      <c r="BG396" s="77">
        <f>IF($U$396="zákl. přenesená",$N$396,0)</f>
        <v>0</v>
      </c>
      <c r="BH396" s="77">
        <f>IF($U$396="sníž. přenesená",$N$396,0)</f>
        <v>0</v>
      </c>
      <c r="BI396" s="77">
        <f>IF($U$396="nulová",$N$396,0)</f>
        <v>0</v>
      </c>
      <c r="BJ396" s="6" t="s">
        <v>17</v>
      </c>
      <c r="BK396" s="77">
        <f>ROUND($L$396*$K$396,2)</f>
        <v>0</v>
      </c>
      <c r="BL396" s="6" t="s">
        <v>221</v>
      </c>
    </row>
    <row r="397" spans="2:64" s="6" customFormat="1" ht="27" customHeight="1">
      <c r="B397" s="21"/>
      <c r="C397" s="119" t="s">
        <v>680</v>
      </c>
      <c r="D397" s="119" t="s">
        <v>161</v>
      </c>
      <c r="E397" s="120" t="s">
        <v>681</v>
      </c>
      <c r="F397" s="194" t="s">
        <v>682</v>
      </c>
      <c r="G397" s="195"/>
      <c r="H397" s="195"/>
      <c r="I397" s="195"/>
      <c r="J397" s="121" t="s">
        <v>164</v>
      </c>
      <c r="K397" s="122">
        <v>1.12</v>
      </c>
      <c r="L397" s="196">
        <v>0</v>
      </c>
      <c r="M397" s="195"/>
      <c r="N397" s="197">
        <f>ROUND($L$397*$K$397,2)</f>
        <v>0</v>
      </c>
      <c r="O397" s="195"/>
      <c r="P397" s="195"/>
      <c r="Q397" s="195"/>
      <c r="R397" s="22"/>
      <c r="T397" s="123"/>
      <c r="U397" s="28" t="s">
        <v>41</v>
      </c>
      <c r="V397" s="124">
        <v>1.369</v>
      </c>
      <c r="W397" s="124">
        <f>$V$397*$K$397</f>
        <v>1.5332800000000002</v>
      </c>
      <c r="X397" s="124">
        <v>0.0375</v>
      </c>
      <c r="Y397" s="124">
        <f>$X$397*$K$397</f>
        <v>0.042</v>
      </c>
      <c r="Z397" s="124">
        <v>0</v>
      </c>
      <c r="AA397" s="125">
        <f>$Z$397*$K$397</f>
        <v>0</v>
      </c>
      <c r="AR397" s="6" t="s">
        <v>221</v>
      </c>
      <c r="AT397" s="6" t="s">
        <v>161</v>
      </c>
      <c r="AU397" s="6" t="s">
        <v>102</v>
      </c>
      <c r="AY397" s="6" t="s">
        <v>160</v>
      </c>
      <c r="BE397" s="77">
        <f>IF($U$397="základní",$N$397,0)</f>
        <v>0</v>
      </c>
      <c r="BF397" s="77">
        <f>IF($U$397="snížená",$N$397,0)</f>
        <v>0</v>
      </c>
      <c r="BG397" s="77">
        <f>IF($U$397="zákl. přenesená",$N$397,0)</f>
        <v>0</v>
      </c>
      <c r="BH397" s="77">
        <f>IF($U$397="sníž. přenesená",$N$397,0)</f>
        <v>0</v>
      </c>
      <c r="BI397" s="77">
        <f>IF($U$397="nulová",$N$397,0)</f>
        <v>0</v>
      </c>
      <c r="BJ397" s="6" t="s">
        <v>17</v>
      </c>
      <c r="BK397" s="77">
        <f>ROUND($L$397*$K$397,2)</f>
        <v>0</v>
      </c>
      <c r="BL397" s="6" t="s">
        <v>221</v>
      </c>
    </row>
    <row r="398" spans="2:51" s="6" customFormat="1" ht="15.75" customHeight="1">
      <c r="B398" s="126"/>
      <c r="E398" s="127"/>
      <c r="F398" s="198" t="s">
        <v>683</v>
      </c>
      <c r="G398" s="199"/>
      <c r="H398" s="199"/>
      <c r="I398" s="199"/>
      <c r="K398" s="128">
        <v>1.12</v>
      </c>
      <c r="R398" s="129"/>
      <c r="T398" s="130"/>
      <c r="AA398" s="131"/>
      <c r="AT398" s="127" t="s">
        <v>167</v>
      </c>
      <c r="AU398" s="127" t="s">
        <v>102</v>
      </c>
      <c r="AV398" s="127" t="s">
        <v>102</v>
      </c>
      <c r="AW398" s="127" t="s">
        <v>109</v>
      </c>
      <c r="AX398" s="127" t="s">
        <v>17</v>
      </c>
      <c r="AY398" s="127" t="s">
        <v>160</v>
      </c>
    </row>
    <row r="399" spans="2:64" s="6" customFormat="1" ht="15.75" customHeight="1">
      <c r="B399" s="21"/>
      <c r="C399" s="138" t="s">
        <v>684</v>
      </c>
      <c r="D399" s="138" t="s">
        <v>276</v>
      </c>
      <c r="E399" s="139" t="s">
        <v>685</v>
      </c>
      <c r="F399" s="202" t="s">
        <v>686</v>
      </c>
      <c r="G399" s="203"/>
      <c r="H399" s="203"/>
      <c r="I399" s="203"/>
      <c r="J399" s="140" t="s">
        <v>164</v>
      </c>
      <c r="K399" s="141">
        <v>1.232</v>
      </c>
      <c r="L399" s="204">
        <v>0</v>
      </c>
      <c r="M399" s="203"/>
      <c r="N399" s="205">
        <f>ROUND($L$399*$K$399,2)</f>
        <v>0</v>
      </c>
      <c r="O399" s="195"/>
      <c r="P399" s="195"/>
      <c r="Q399" s="195"/>
      <c r="R399" s="22"/>
      <c r="T399" s="123"/>
      <c r="U399" s="28" t="s">
        <v>41</v>
      </c>
      <c r="V399" s="124">
        <v>0</v>
      </c>
      <c r="W399" s="124">
        <f>$V$399*$K$399</f>
        <v>0</v>
      </c>
      <c r="X399" s="124">
        <v>0.0118</v>
      </c>
      <c r="Y399" s="124">
        <f>$X$399*$K$399</f>
        <v>0.0145376</v>
      </c>
      <c r="Z399" s="124">
        <v>0</v>
      </c>
      <c r="AA399" s="125">
        <f>$Z$399*$K$399</f>
        <v>0</v>
      </c>
      <c r="AR399" s="6" t="s">
        <v>283</v>
      </c>
      <c r="AT399" s="6" t="s">
        <v>276</v>
      </c>
      <c r="AU399" s="6" t="s">
        <v>102</v>
      </c>
      <c r="AY399" s="6" t="s">
        <v>160</v>
      </c>
      <c r="BE399" s="77">
        <f>IF($U$399="základní",$N$399,0)</f>
        <v>0</v>
      </c>
      <c r="BF399" s="77">
        <f>IF($U$399="snížená",$N$399,0)</f>
        <v>0</v>
      </c>
      <c r="BG399" s="77">
        <f>IF($U$399="zákl. přenesená",$N$399,0)</f>
        <v>0</v>
      </c>
      <c r="BH399" s="77">
        <f>IF($U$399="sníž. přenesená",$N$399,0)</f>
        <v>0</v>
      </c>
      <c r="BI399" s="77">
        <f>IF($U$399="nulová",$N$399,0)</f>
        <v>0</v>
      </c>
      <c r="BJ399" s="6" t="s">
        <v>17</v>
      </c>
      <c r="BK399" s="77">
        <f>ROUND($L$399*$K$399,2)</f>
        <v>0</v>
      </c>
      <c r="BL399" s="6" t="s">
        <v>221</v>
      </c>
    </row>
    <row r="400" spans="2:64" s="6" customFormat="1" ht="27" customHeight="1">
      <c r="B400" s="21"/>
      <c r="C400" s="119" t="s">
        <v>687</v>
      </c>
      <c r="D400" s="119" t="s">
        <v>161</v>
      </c>
      <c r="E400" s="120" t="s">
        <v>688</v>
      </c>
      <c r="F400" s="194" t="s">
        <v>689</v>
      </c>
      <c r="G400" s="195"/>
      <c r="H400" s="195"/>
      <c r="I400" s="195"/>
      <c r="J400" s="121" t="s">
        <v>164</v>
      </c>
      <c r="K400" s="122">
        <v>23.524</v>
      </c>
      <c r="L400" s="196">
        <v>0</v>
      </c>
      <c r="M400" s="195"/>
      <c r="N400" s="197">
        <f>ROUND($L$400*$K$400,2)</f>
        <v>0</v>
      </c>
      <c r="O400" s="195"/>
      <c r="P400" s="195"/>
      <c r="Q400" s="195"/>
      <c r="R400" s="22"/>
      <c r="T400" s="123"/>
      <c r="U400" s="28" t="s">
        <v>41</v>
      </c>
      <c r="V400" s="124">
        <v>0.1</v>
      </c>
      <c r="W400" s="124">
        <f>$V$400*$K$400</f>
        <v>2.3524000000000003</v>
      </c>
      <c r="X400" s="124">
        <v>0</v>
      </c>
      <c r="Y400" s="124">
        <f>$X$400*$K$400</f>
        <v>0</v>
      </c>
      <c r="Z400" s="124">
        <v>0</v>
      </c>
      <c r="AA400" s="125">
        <f>$Z$400*$K$400</f>
        <v>0</v>
      </c>
      <c r="AR400" s="6" t="s">
        <v>221</v>
      </c>
      <c r="AT400" s="6" t="s">
        <v>161</v>
      </c>
      <c r="AU400" s="6" t="s">
        <v>102</v>
      </c>
      <c r="AY400" s="6" t="s">
        <v>160</v>
      </c>
      <c r="BE400" s="77">
        <f>IF($U$400="základní",$N$400,0)</f>
        <v>0</v>
      </c>
      <c r="BF400" s="77">
        <f>IF($U$400="snížená",$N$400,0)</f>
        <v>0</v>
      </c>
      <c r="BG400" s="77">
        <f>IF($U$400="zákl. přenesená",$N$400,0)</f>
        <v>0</v>
      </c>
      <c r="BH400" s="77">
        <f>IF($U$400="sníž. přenesená",$N$400,0)</f>
        <v>0</v>
      </c>
      <c r="BI400" s="77">
        <f>IF($U$400="nulová",$N$400,0)</f>
        <v>0</v>
      </c>
      <c r="BJ400" s="6" t="s">
        <v>17</v>
      </c>
      <c r="BK400" s="77">
        <f>ROUND($L$400*$K$400,2)</f>
        <v>0</v>
      </c>
      <c r="BL400" s="6" t="s">
        <v>221</v>
      </c>
    </row>
    <row r="401" spans="2:64" s="6" customFormat="1" ht="27" customHeight="1">
      <c r="B401" s="21"/>
      <c r="C401" s="119" t="s">
        <v>690</v>
      </c>
      <c r="D401" s="119" t="s">
        <v>161</v>
      </c>
      <c r="E401" s="120" t="s">
        <v>691</v>
      </c>
      <c r="F401" s="194" t="s">
        <v>692</v>
      </c>
      <c r="G401" s="195"/>
      <c r="H401" s="195"/>
      <c r="I401" s="195"/>
      <c r="J401" s="121" t="s">
        <v>164</v>
      </c>
      <c r="K401" s="122">
        <v>23.524</v>
      </c>
      <c r="L401" s="196">
        <v>0</v>
      </c>
      <c r="M401" s="195"/>
      <c r="N401" s="197">
        <f>ROUND($L$401*$K$401,2)</f>
        <v>0</v>
      </c>
      <c r="O401" s="195"/>
      <c r="P401" s="195"/>
      <c r="Q401" s="195"/>
      <c r="R401" s="22"/>
      <c r="T401" s="123"/>
      <c r="U401" s="28" t="s">
        <v>41</v>
      </c>
      <c r="V401" s="124">
        <v>0.1</v>
      </c>
      <c r="W401" s="124">
        <f>$V$401*$K$401</f>
        <v>2.3524000000000003</v>
      </c>
      <c r="X401" s="124">
        <v>0</v>
      </c>
      <c r="Y401" s="124">
        <f>$X$401*$K$401</f>
        <v>0</v>
      </c>
      <c r="Z401" s="124">
        <v>0</v>
      </c>
      <c r="AA401" s="125">
        <f>$Z$401*$K$401</f>
        <v>0</v>
      </c>
      <c r="AR401" s="6" t="s">
        <v>221</v>
      </c>
      <c r="AT401" s="6" t="s">
        <v>161</v>
      </c>
      <c r="AU401" s="6" t="s">
        <v>102</v>
      </c>
      <c r="AY401" s="6" t="s">
        <v>160</v>
      </c>
      <c r="BE401" s="77">
        <f>IF($U$401="základní",$N$401,0)</f>
        <v>0</v>
      </c>
      <c r="BF401" s="77">
        <f>IF($U$401="snížená",$N$401,0)</f>
        <v>0</v>
      </c>
      <c r="BG401" s="77">
        <f>IF($U$401="zákl. přenesená",$N$401,0)</f>
        <v>0</v>
      </c>
      <c r="BH401" s="77">
        <f>IF($U$401="sníž. přenesená",$N$401,0)</f>
        <v>0</v>
      </c>
      <c r="BI401" s="77">
        <f>IF($U$401="nulová",$N$401,0)</f>
        <v>0</v>
      </c>
      <c r="BJ401" s="6" t="s">
        <v>17</v>
      </c>
      <c r="BK401" s="77">
        <f>ROUND($L$401*$K$401,2)</f>
        <v>0</v>
      </c>
      <c r="BL401" s="6" t="s">
        <v>221</v>
      </c>
    </row>
    <row r="402" spans="2:64" s="6" customFormat="1" ht="27" customHeight="1">
      <c r="B402" s="21"/>
      <c r="C402" s="119" t="s">
        <v>693</v>
      </c>
      <c r="D402" s="119" t="s">
        <v>161</v>
      </c>
      <c r="E402" s="120" t="s">
        <v>694</v>
      </c>
      <c r="F402" s="194" t="s">
        <v>695</v>
      </c>
      <c r="G402" s="195"/>
      <c r="H402" s="195"/>
      <c r="I402" s="195"/>
      <c r="J402" s="121" t="s">
        <v>472</v>
      </c>
      <c r="K402" s="142">
        <v>0</v>
      </c>
      <c r="L402" s="196">
        <v>0</v>
      </c>
      <c r="M402" s="195"/>
      <c r="N402" s="197">
        <f>ROUND($L$402*$K$402,2)</f>
        <v>0</v>
      </c>
      <c r="O402" s="195"/>
      <c r="P402" s="195"/>
      <c r="Q402" s="195"/>
      <c r="R402" s="22"/>
      <c r="T402" s="123"/>
      <c r="U402" s="28" t="s">
        <v>41</v>
      </c>
      <c r="V402" s="124">
        <v>0</v>
      </c>
      <c r="W402" s="124">
        <f>$V$402*$K$402</f>
        <v>0</v>
      </c>
      <c r="X402" s="124">
        <v>0</v>
      </c>
      <c r="Y402" s="124">
        <f>$X$402*$K$402</f>
        <v>0</v>
      </c>
      <c r="Z402" s="124">
        <v>0</v>
      </c>
      <c r="AA402" s="125">
        <f>$Z$402*$K$402</f>
        <v>0</v>
      </c>
      <c r="AR402" s="6" t="s">
        <v>221</v>
      </c>
      <c r="AT402" s="6" t="s">
        <v>161</v>
      </c>
      <c r="AU402" s="6" t="s">
        <v>102</v>
      </c>
      <c r="AY402" s="6" t="s">
        <v>160</v>
      </c>
      <c r="BE402" s="77">
        <f>IF($U$402="základní",$N$402,0)</f>
        <v>0</v>
      </c>
      <c r="BF402" s="77">
        <f>IF($U$402="snížená",$N$402,0)</f>
        <v>0</v>
      </c>
      <c r="BG402" s="77">
        <f>IF($U$402="zákl. přenesená",$N$402,0)</f>
        <v>0</v>
      </c>
      <c r="BH402" s="77">
        <f>IF($U$402="sníž. přenesená",$N$402,0)</f>
        <v>0</v>
      </c>
      <c r="BI402" s="77">
        <f>IF($U$402="nulová",$N$402,0)</f>
        <v>0</v>
      </c>
      <c r="BJ402" s="6" t="s">
        <v>17</v>
      </c>
      <c r="BK402" s="77">
        <f>ROUND($L$402*$K$402,2)</f>
        <v>0</v>
      </c>
      <c r="BL402" s="6" t="s">
        <v>221</v>
      </c>
    </row>
    <row r="403" spans="2:63" s="109" customFormat="1" ht="30.75" customHeight="1">
      <c r="B403" s="110"/>
      <c r="D403" s="118" t="s">
        <v>133</v>
      </c>
      <c r="N403" s="210">
        <f>$BK$403</f>
        <v>0</v>
      </c>
      <c r="O403" s="209"/>
      <c r="P403" s="209"/>
      <c r="Q403" s="209"/>
      <c r="R403" s="113"/>
      <c r="T403" s="114"/>
      <c r="W403" s="115">
        <f>SUM($W$404:$W$406)</f>
        <v>12.494252999999999</v>
      </c>
      <c r="Y403" s="115">
        <f>SUM($Y$404:$Y$406)</f>
        <v>0.0056825899999999995</v>
      </c>
      <c r="AA403" s="116">
        <f>SUM($AA$404:$AA$406)</f>
        <v>0</v>
      </c>
      <c r="AR403" s="112" t="s">
        <v>102</v>
      </c>
      <c r="AT403" s="112" t="s">
        <v>75</v>
      </c>
      <c r="AU403" s="112" t="s">
        <v>17</v>
      </c>
      <c r="AY403" s="112" t="s">
        <v>160</v>
      </c>
      <c r="BK403" s="117">
        <f>SUM($BK$404:$BK$406)</f>
        <v>0</v>
      </c>
    </row>
    <row r="404" spans="2:64" s="6" customFormat="1" ht="27" customHeight="1">
      <c r="B404" s="21"/>
      <c r="C404" s="119" t="s">
        <v>696</v>
      </c>
      <c r="D404" s="119" t="s">
        <v>161</v>
      </c>
      <c r="E404" s="120" t="s">
        <v>697</v>
      </c>
      <c r="F404" s="194" t="s">
        <v>698</v>
      </c>
      <c r="G404" s="195"/>
      <c r="H404" s="195"/>
      <c r="I404" s="195"/>
      <c r="J404" s="121" t="s">
        <v>164</v>
      </c>
      <c r="K404" s="122">
        <v>10.36</v>
      </c>
      <c r="L404" s="196">
        <v>0</v>
      </c>
      <c r="M404" s="195"/>
      <c r="N404" s="197">
        <f>ROUND($L$404*$K$404,2)</f>
        <v>0</v>
      </c>
      <c r="O404" s="195"/>
      <c r="P404" s="195"/>
      <c r="Q404" s="195"/>
      <c r="R404" s="22"/>
      <c r="T404" s="123"/>
      <c r="U404" s="28" t="s">
        <v>41</v>
      </c>
      <c r="V404" s="124">
        <v>0.132</v>
      </c>
      <c r="W404" s="124">
        <f>$V$404*$K$404</f>
        <v>1.36752</v>
      </c>
      <c r="X404" s="124">
        <v>0.00032</v>
      </c>
      <c r="Y404" s="124">
        <f>$X$404*$K$404</f>
        <v>0.0033152</v>
      </c>
      <c r="Z404" s="124">
        <v>0</v>
      </c>
      <c r="AA404" s="125">
        <f>$Z$404*$K$404</f>
        <v>0</v>
      </c>
      <c r="AR404" s="6" t="s">
        <v>221</v>
      </c>
      <c r="AT404" s="6" t="s">
        <v>161</v>
      </c>
      <c r="AU404" s="6" t="s">
        <v>102</v>
      </c>
      <c r="AY404" s="6" t="s">
        <v>160</v>
      </c>
      <c r="BE404" s="77">
        <f>IF($U$404="základní",$N$404,0)</f>
        <v>0</v>
      </c>
      <c r="BF404" s="77">
        <f>IF($U$404="snížená",$N$404,0)</f>
        <v>0</v>
      </c>
      <c r="BG404" s="77">
        <f>IF($U$404="zákl. přenesená",$N$404,0)</f>
        <v>0</v>
      </c>
      <c r="BH404" s="77">
        <f>IF($U$404="sníž. přenesená",$N$404,0)</f>
        <v>0</v>
      </c>
      <c r="BI404" s="77">
        <f>IF($U$404="nulová",$N$404,0)</f>
        <v>0</v>
      </c>
      <c r="BJ404" s="6" t="s">
        <v>17</v>
      </c>
      <c r="BK404" s="77">
        <f>ROUND($L$404*$K$404,2)</f>
        <v>0</v>
      </c>
      <c r="BL404" s="6" t="s">
        <v>221</v>
      </c>
    </row>
    <row r="405" spans="2:64" s="6" customFormat="1" ht="39" customHeight="1">
      <c r="B405" s="21"/>
      <c r="C405" s="119" t="s">
        <v>699</v>
      </c>
      <c r="D405" s="119" t="s">
        <v>161</v>
      </c>
      <c r="E405" s="120" t="s">
        <v>700</v>
      </c>
      <c r="F405" s="194" t="s">
        <v>701</v>
      </c>
      <c r="G405" s="195"/>
      <c r="H405" s="195"/>
      <c r="I405" s="195"/>
      <c r="J405" s="121" t="s">
        <v>164</v>
      </c>
      <c r="K405" s="122">
        <v>78.913</v>
      </c>
      <c r="L405" s="196">
        <v>0</v>
      </c>
      <c r="M405" s="195"/>
      <c r="N405" s="197">
        <f>ROUND($L$405*$K$405,2)</f>
        <v>0</v>
      </c>
      <c r="O405" s="195"/>
      <c r="P405" s="195"/>
      <c r="Q405" s="195"/>
      <c r="R405" s="22"/>
      <c r="T405" s="123"/>
      <c r="U405" s="28" t="s">
        <v>41</v>
      </c>
      <c r="V405" s="124">
        <v>0.141</v>
      </c>
      <c r="W405" s="124">
        <f>$V$405*$K$405</f>
        <v>11.126732999999998</v>
      </c>
      <c r="X405" s="124">
        <v>3E-05</v>
      </c>
      <c r="Y405" s="124">
        <f>$X$405*$K$405</f>
        <v>0.00236739</v>
      </c>
      <c r="Z405" s="124">
        <v>0</v>
      </c>
      <c r="AA405" s="125">
        <f>$Z$405*$K$405</f>
        <v>0</v>
      </c>
      <c r="AR405" s="6" t="s">
        <v>221</v>
      </c>
      <c r="AT405" s="6" t="s">
        <v>161</v>
      </c>
      <c r="AU405" s="6" t="s">
        <v>102</v>
      </c>
      <c r="AY405" s="6" t="s">
        <v>160</v>
      </c>
      <c r="BE405" s="77">
        <f>IF($U$405="základní",$N$405,0)</f>
        <v>0</v>
      </c>
      <c r="BF405" s="77">
        <f>IF($U$405="snížená",$N$405,0)</f>
        <v>0</v>
      </c>
      <c r="BG405" s="77">
        <f>IF($U$405="zákl. přenesená",$N$405,0)</f>
        <v>0</v>
      </c>
      <c r="BH405" s="77">
        <f>IF($U$405="sníž. přenesená",$N$405,0)</f>
        <v>0</v>
      </c>
      <c r="BI405" s="77">
        <f>IF($U$405="nulová",$N$405,0)</f>
        <v>0</v>
      </c>
      <c r="BJ405" s="6" t="s">
        <v>17</v>
      </c>
      <c r="BK405" s="77">
        <f>ROUND($L$405*$K$405,2)</f>
        <v>0</v>
      </c>
      <c r="BL405" s="6" t="s">
        <v>221</v>
      </c>
    </row>
    <row r="406" spans="2:51" s="6" customFormat="1" ht="15.75" customHeight="1">
      <c r="B406" s="126"/>
      <c r="E406" s="127"/>
      <c r="F406" s="198" t="s">
        <v>702</v>
      </c>
      <c r="G406" s="199"/>
      <c r="H406" s="199"/>
      <c r="I406" s="199"/>
      <c r="K406" s="128">
        <v>78.913</v>
      </c>
      <c r="R406" s="129"/>
      <c r="T406" s="130"/>
      <c r="AA406" s="131"/>
      <c r="AT406" s="127" t="s">
        <v>167</v>
      </c>
      <c r="AU406" s="127" t="s">
        <v>102</v>
      </c>
      <c r="AV406" s="127" t="s">
        <v>102</v>
      </c>
      <c r="AW406" s="127" t="s">
        <v>109</v>
      </c>
      <c r="AX406" s="127" t="s">
        <v>17</v>
      </c>
      <c r="AY406" s="127" t="s">
        <v>160</v>
      </c>
    </row>
    <row r="407" spans="2:63" s="109" customFormat="1" ht="30.75" customHeight="1">
      <c r="B407" s="110"/>
      <c r="D407" s="118" t="s">
        <v>134</v>
      </c>
      <c r="N407" s="210">
        <f>$BK$407</f>
        <v>0</v>
      </c>
      <c r="O407" s="209"/>
      <c r="P407" s="209"/>
      <c r="Q407" s="209"/>
      <c r="R407" s="113"/>
      <c r="T407" s="114"/>
      <c r="W407" s="115">
        <f>SUM($W$408:$W$410)</f>
        <v>1.42488</v>
      </c>
      <c r="Y407" s="115">
        <f>SUM($Y$408:$Y$410)</f>
        <v>0</v>
      </c>
      <c r="AA407" s="116">
        <f>SUM($AA$408:$AA$410)</f>
        <v>0</v>
      </c>
      <c r="AR407" s="112" t="s">
        <v>102</v>
      </c>
      <c r="AT407" s="112" t="s">
        <v>75</v>
      </c>
      <c r="AU407" s="112" t="s">
        <v>17</v>
      </c>
      <c r="AY407" s="112" t="s">
        <v>160</v>
      </c>
      <c r="BK407" s="117">
        <f>SUM($BK$408:$BK$410)</f>
        <v>0</v>
      </c>
    </row>
    <row r="408" spans="2:64" s="6" customFormat="1" ht="15.75" customHeight="1">
      <c r="B408" s="21"/>
      <c r="C408" s="119" t="s">
        <v>703</v>
      </c>
      <c r="D408" s="119" t="s">
        <v>161</v>
      </c>
      <c r="E408" s="120" t="s">
        <v>704</v>
      </c>
      <c r="F408" s="194" t="s">
        <v>705</v>
      </c>
      <c r="G408" s="195"/>
      <c r="H408" s="195"/>
      <c r="I408" s="195"/>
      <c r="J408" s="121" t="s">
        <v>164</v>
      </c>
      <c r="K408" s="122">
        <v>101.04</v>
      </c>
      <c r="L408" s="196">
        <v>0</v>
      </c>
      <c r="M408" s="195"/>
      <c r="N408" s="197">
        <f>ROUND($L$408*$K$408,2)</f>
        <v>0</v>
      </c>
      <c r="O408" s="195"/>
      <c r="P408" s="195"/>
      <c r="Q408" s="195"/>
      <c r="R408" s="22"/>
      <c r="T408" s="123"/>
      <c r="U408" s="28" t="s">
        <v>41</v>
      </c>
      <c r="V408" s="124">
        <v>0.012</v>
      </c>
      <c r="W408" s="124">
        <f>$V$408*$K$408</f>
        <v>1.21248</v>
      </c>
      <c r="X408" s="124">
        <v>0</v>
      </c>
      <c r="Y408" s="124">
        <f>$X$408*$K$408</f>
        <v>0</v>
      </c>
      <c r="Z408" s="124">
        <v>0</v>
      </c>
      <c r="AA408" s="125">
        <f>$Z$408*$K$408</f>
        <v>0</v>
      </c>
      <c r="AR408" s="6" t="s">
        <v>221</v>
      </c>
      <c r="AT408" s="6" t="s">
        <v>161</v>
      </c>
      <c r="AU408" s="6" t="s">
        <v>102</v>
      </c>
      <c r="AY408" s="6" t="s">
        <v>160</v>
      </c>
      <c r="BE408" s="77">
        <f>IF($U$408="základní",$N$408,0)</f>
        <v>0</v>
      </c>
      <c r="BF408" s="77">
        <f>IF($U$408="snížená",$N$408,0)</f>
        <v>0</v>
      </c>
      <c r="BG408" s="77">
        <f>IF($U$408="zákl. přenesená",$N$408,0)</f>
        <v>0</v>
      </c>
      <c r="BH408" s="77">
        <f>IF($U$408="sníž. přenesená",$N$408,0)</f>
        <v>0</v>
      </c>
      <c r="BI408" s="77">
        <f>IF($U$408="nulová",$N$408,0)</f>
        <v>0</v>
      </c>
      <c r="BJ408" s="6" t="s">
        <v>17</v>
      </c>
      <c r="BK408" s="77">
        <f>ROUND($L$408*$K$408,2)</f>
        <v>0</v>
      </c>
      <c r="BL408" s="6" t="s">
        <v>221</v>
      </c>
    </row>
    <row r="409" spans="2:51" s="6" customFormat="1" ht="15.75" customHeight="1">
      <c r="B409" s="126"/>
      <c r="E409" s="127"/>
      <c r="F409" s="198" t="s">
        <v>706</v>
      </c>
      <c r="G409" s="199"/>
      <c r="H409" s="199"/>
      <c r="I409" s="199"/>
      <c r="K409" s="128">
        <v>101.04</v>
      </c>
      <c r="R409" s="129"/>
      <c r="T409" s="130"/>
      <c r="AA409" s="131"/>
      <c r="AT409" s="127" t="s">
        <v>167</v>
      </c>
      <c r="AU409" s="127" t="s">
        <v>102</v>
      </c>
      <c r="AV409" s="127" t="s">
        <v>102</v>
      </c>
      <c r="AW409" s="127" t="s">
        <v>109</v>
      </c>
      <c r="AX409" s="127" t="s">
        <v>17</v>
      </c>
      <c r="AY409" s="127" t="s">
        <v>160</v>
      </c>
    </row>
    <row r="410" spans="2:64" s="6" customFormat="1" ht="15.75" customHeight="1">
      <c r="B410" s="21"/>
      <c r="C410" s="119" t="s">
        <v>707</v>
      </c>
      <c r="D410" s="119" t="s">
        <v>161</v>
      </c>
      <c r="E410" s="120" t="s">
        <v>708</v>
      </c>
      <c r="F410" s="194" t="s">
        <v>709</v>
      </c>
      <c r="G410" s="195"/>
      <c r="H410" s="195"/>
      <c r="I410" s="195"/>
      <c r="J410" s="121" t="s">
        <v>164</v>
      </c>
      <c r="K410" s="122">
        <v>17.7</v>
      </c>
      <c r="L410" s="196">
        <v>0</v>
      </c>
      <c r="M410" s="195"/>
      <c r="N410" s="197">
        <f>ROUND($L$410*$K$410,2)</f>
        <v>0</v>
      </c>
      <c r="O410" s="195"/>
      <c r="P410" s="195"/>
      <c r="Q410" s="195"/>
      <c r="R410" s="22"/>
      <c r="T410" s="123"/>
      <c r="U410" s="28" t="s">
        <v>41</v>
      </c>
      <c r="V410" s="124">
        <v>0.012</v>
      </c>
      <c r="W410" s="124">
        <f>$V$410*$K$410</f>
        <v>0.2124</v>
      </c>
      <c r="X410" s="124">
        <v>0</v>
      </c>
      <c r="Y410" s="124">
        <f>$X$410*$K$410</f>
        <v>0</v>
      </c>
      <c r="Z410" s="124">
        <v>0</v>
      </c>
      <c r="AA410" s="125">
        <f>$Z$410*$K$410</f>
        <v>0</v>
      </c>
      <c r="AR410" s="6" t="s">
        <v>221</v>
      </c>
      <c r="AT410" s="6" t="s">
        <v>161</v>
      </c>
      <c r="AU410" s="6" t="s">
        <v>102</v>
      </c>
      <c r="AY410" s="6" t="s">
        <v>160</v>
      </c>
      <c r="BE410" s="77">
        <f>IF($U$410="základní",$N$410,0)</f>
        <v>0</v>
      </c>
      <c r="BF410" s="77">
        <f>IF($U$410="snížená",$N$410,0)</f>
        <v>0</v>
      </c>
      <c r="BG410" s="77">
        <f>IF($U$410="zákl. přenesená",$N$410,0)</f>
        <v>0</v>
      </c>
      <c r="BH410" s="77">
        <f>IF($U$410="sníž. přenesená",$N$410,0)</f>
        <v>0</v>
      </c>
      <c r="BI410" s="77">
        <f>IF($U$410="nulová",$N$410,0)</f>
        <v>0</v>
      </c>
      <c r="BJ410" s="6" t="s">
        <v>17</v>
      </c>
      <c r="BK410" s="77">
        <f>ROUND($L$410*$K$410,2)</f>
        <v>0</v>
      </c>
      <c r="BL410" s="6" t="s">
        <v>221</v>
      </c>
    </row>
    <row r="411" spans="2:63" s="6" customFormat="1" ht="51" customHeight="1">
      <c r="B411" s="21"/>
      <c r="D411" s="111" t="s">
        <v>710</v>
      </c>
      <c r="N411" s="190">
        <f>$BK$411</f>
        <v>0</v>
      </c>
      <c r="O411" s="151"/>
      <c r="P411" s="151"/>
      <c r="Q411" s="151"/>
      <c r="R411" s="22"/>
      <c r="T411" s="53"/>
      <c r="AA411" s="54"/>
      <c r="AT411" s="6" t="s">
        <v>75</v>
      </c>
      <c r="AU411" s="6" t="s">
        <v>76</v>
      </c>
      <c r="AY411" s="6" t="s">
        <v>711</v>
      </c>
      <c r="BK411" s="77">
        <f>SUM($BK$412:$BK$416)</f>
        <v>0</v>
      </c>
    </row>
    <row r="412" spans="2:63" s="6" customFormat="1" ht="23.25" customHeight="1">
      <c r="B412" s="21"/>
      <c r="C412" s="143"/>
      <c r="D412" s="143" t="s">
        <v>161</v>
      </c>
      <c r="E412" s="144"/>
      <c r="F412" s="206"/>
      <c r="G412" s="207"/>
      <c r="H412" s="207"/>
      <c r="I412" s="207"/>
      <c r="J412" s="145"/>
      <c r="K412" s="142"/>
      <c r="L412" s="196"/>
      <c r="M412" s="195"/>
      <c r="N412" s="197">
        <f>$BK$412</f>
        <v>0</v>
      </c>
      <c r="O412" s="195"/>
      <c r="P412" s="195"/>
      <c r="Q412" s="195"/>
      <c r="R412" s="22"/>
      <c r="T412" s="123"/>
      <c r="U412" s="146" t="s">
        <v>41</v>
      </c>
      <c r="AA412" s="54"/>
      <c r="AT412" s="6" t="s">
        <v>711</v>
      </c>
      <c r="AU412" s="6" t="s">
        <v>17</v>
      </c>
      <c r="AY412" s="6" t="s">
        <v>711</v>
      </c>
      <c r="BE412" s="77">
        <f>IF($U$412="základní",$N$412,0)</f>
        <v>0</v>
      </c>
      <c r="BF412" s="77">
        <f>IF($U$412="snížená",$N$412,0)</f>
        <v>0</v>
      </c>
      <c r="BG412" s="77">
        <f>IF($U$412="zákl. přenesená",$N$412,0)</f>
        <v>0</v>
      </c>
      <c r="BH412" s="77">
        <f>IF($U$412="sníž. přenesená",$N$412,0)</f>
        <v>0</v>
      </c>
      <c r="BI412" s="77">
        <f>IF($U$412="nulová",$N$412,0)</f>
        <v>0</v>
      </c>
      <c r="BJ412" s="6" t="s">
        <v>17</v>
      </c>
      <c r="BK412" s="77">
        <f>$L$412*$K$412</f>
        <v>0</v>
      </c>
    </row>
    <row r="413" spans="2:63" s="6" customFormat="1" ht="23.25" customHeight="1">
      <c r="B413" s="21"/>
      <c r="C413" s="143"/>
      <c r="D413" s="143" t="s">
        <v>161</v>
      </c>
      <c r="E413" s="144"/>
      <c r="F413" s="206"/>
      <c r="G413" s="207"/>
      <c r="H413" s="207"/>
      <c r="I413" s="207"/>
      <c r="J413" s="145"/>
      <c r="K413" s="142"/>
      <c r="L413" s="196"/>
      <c r="M413" s="195"/>
      <c r="N413" s="197">
        <f>$BK$413</f>
        <v>0</v>
      </c>
      <c r="O413" s="195"/>
      <c r="P413" s="195"/>
      <c r="Q413" s="195"/>
      <c r="R413" s="22"/>
      <c r="T413" s="123"/>
      <c r="U413" s="146" t="s">
        <v>41</v>
      </c>
      <c r="AA413" s="54"/>
      <c r="AT413" s="6" t="s">
        <v>711</v>
      </c>
      <c r="AU413" s="6" t="s">
        <v>17</v>
      </c>
      <c r="AY413" s="6" t="s">
        <v>711</v>
      </c>
      <c r="BE413" s="77">
        <f>IF($U$413="základní",$N$413,0)</f>
        <v>0</v>
      </c>
      <c r="BF413" s="77">
        <f>IF($U$413="snížená",$N$413,0)</f>
        <v>0</v>
      </c>
      <c r="BG413" s="77">
        <f>IF($U$413="zákl. přenesená",$N$413,0)</f>
        <v>0</v>
      </c>
      <c r="BH413" s="77">
        <f>IF($U$413="sníž. přenesená",$N$413,0)</f>
        <v>0</v>
      </c>
      <c r="BI413" s="77">
        <f>IF($U$413="nulová",$N$413,0)</f>
        <v>0</v>
      </c>
      <c r="BJ413" s="6" t="s">
        <v>17</v>
      </c>
      <c r="BK413" s="77">
        <f>$L$413*$K$413</f>
        <v>0</v>
      </c>
    </row>
    <row r="414" spans="2:63" s="6" customFormat="1" ht="23.25" customHeight="1">
      <c r="B414" s="21"/>
      <c r="C414" s="143"/>
      <c r="D414" s="143" t="s">
        <v>161</v>
      </c>
      <c r="E414" s="144"/>
      <c r="F414" s="206"/>
      <c r="G414" s="207"/>
      <c r="H414" s="207"/>
      <c r="I414" s="207"/>
      <c r="J414" s="145"/>
      <c r="K414" s="142"/>
      <c r="L414" s="196"/>
      <c r="M414" s="195"/>
      <c r="N414" s="197">
        <f>$BK$414</f>
        <v>0</v>
      </c>
      <c r="O414" s="195"/>
      <c r="P414" s="195"/>
      <c r="Q414" s="195"/>
      <c r="R414" s="22"/>
      <c r="T414" s="123"/>
      <c r="U414" s="146" t="s">
        <v>41</v>
      </c>
      <c r="AA414" s="54"/>
      <c r="AT414" s="6" t="s">
        <v>711</v>
      </c>
      <c r="AU414" s="6" t="s">
        <v>17</v>
      </c>
      <c r="AY414" s="6" t="s">
        <v>711</v>
      </c>
      <c r="BE414" s="77">
        <f>IF($U$414="základní",$N$414,0)</f>
        <v>0</v>
      </c>
      <c r="BF414" s="77">
        <f>IF($U$414="snížená",$N$414,0)</f>
        <v>0</v>
      </c>
      <c r="BG414" s="77">
        <f>IF($U$414="zákl. přenesená",$N$414,0)</f>
        <v>0</v>
      </c>
      <c r="BH414" s="77">
        <f>IF($U$414="sníž. přenesená",$N$414,0)</f>
        <v>0</v>
      </c>
      <c r="BI414" s="77">
        <f>IF($U$414="nulová",$N$414,0)</f>
        <v>0</v>
      </c>
      <c r="BJ414" s="6" t="s">
        <v>17</v>
      </c>
      <c r="BK414" s="77">
        <f>$L$414*$K$414</f>
        <v>0</v>
      </c>
    </row>
    <row r="415" spans="2:63" s="6" customFormat="1" ht="23.25" customHeight="1">
      <c r="B415" s="21"/>
      <c r="C415" s="143"/>
      <c r="D415" s="143" t="s">
        <v>161</v>
      </c>
      <c r="E415" s="144"/>
      <c r="F415" s="206"/>
      <c r="G415" s="207"/>
      <c r="H415" s="207"/>
      <c r="I415" s="207"/>
      <c r="J415" s="145"/>
      <c r="K415" s="142"/>
      <c r="L415" s="196"/>
      <c r="M415" s="195"/>
      <c r="N415" s="197">
        <f>$BK$415</f>
        <v>0</v>
      </c>
      <c r="O415" s="195"/>
      <c r="P415" s="195"/>
      <c r="Q415" s="195"/>
      <c r="R415" s="22"/>
      <c r="T415" s="123"/>
      <c r="U415" s="146" t="s">
        <v>41</v>
      </c>
      <c r="AA415" s="54"/>
      <c r="AT415" s="6" t="s">
        <v>711</v>
      </c>
      <c r="AU415" s="6" t="s">
        <v>17</v>
      </c>
      <c r="AY415" s="6" t="s">
        <v>711</v>
      </c>
      <c r="BE415" s="77">
        <f>IF($U$415="základní",$N$415,0)</f>
        <v>0</v>
      </c>
      <c r="BF415" s="77">
        <f>IF($U$415="snížená",$N$415,0)</f>
        <v>0</v>
      </c>
      <c r="BG415" s="77">
        <f>IF($U$415="zákl. přenesená",$N$415,0)</f>
        <v>0</v>
      </c>
      <c r="BH415" s="77">
        <f>IF($U$415="sníž. přenesená",$N$415,0)</f>
        <v>0</v>
      </c>
      <c r="BI415" s="77">
        <f>IF($U$415="nulová",$N$415,0)</f>
        <v>0</v>
      </c>
      <c r="BJ415" s="6" t="s">
        <v>17</v>
      </c>
      <c r="BK415" s="77">
        <f>$L$415*$K$415</f>
        <v>0</v>
      </c>
    </row>
    <row r="416" spans="2:63" s="6" customFormat="1" ht="23.25" customHeight="1">
      <c r="B416" s="21"/>
      <c r="C416" s="143"/>
      <c r="D416" s="143" t="s">
        <v>161</v>
      </c>
      <c r="E416" s="144"/>
      <c r="F416" s="206"/>
      <c r="G416" s="207"/>
      <c r="H416" s="207"/>
      <c r="I416" s="207"/>
      <c r="J416" s="145"/>
      <c r="K416" s="142"/>
      <c r="L416" s="196"/>
      <c r="M416" s="195"/>
      <c r="N416" s="197">
        <f>$BK$416</f>
        <v>0</v>
      </c>
      <c r="O416" s="195"/>
      <c r="P416" s="195"/>
      <c r="Q416" s="195"/>
      <c r="R416" s="22"/>
      <c r="T416" s="123"/>
      <c r="U416" s="146" t="s">
        <v>41</v>
      </c>
      <c r="V416" s="40"/>
      <c r="W416" s="40"/>
      <c r="X416" s="40"/>
      <c r="Y416" s="40"/>
      <c r="Z416" s="40"/>
      <c r="AA416" s="42"/>
      <c r="AT416" s="6" t="s">
        <v>711</v>
      </c>
      <c r="AU416" s="6" t="s">
        <v>17</v>
      </c>
      <c r="AY416" s="6" t="s">
        <v>711</v>
      </c>
      <c r="BE416" s="77">
        <f>IF($U$416="základní",$N$416,0)</f>
        <v>0</v>
      </c>
      <c r="BF416" s="77">
        <f>IF($U$416="snížená",$N$416,0)</f>
        <v>0</v>
      </c>
      <c r="BG416" s="77">
        <f>IF($U$416="zákl. přenesená",$N$416,0)</f>
        <v>0</v>
      </c>
      <c r="BH416" s="77">
        <f>IF($U$416="sníž. přenesená",$N$416,0)</f>
        <v>0</v>
      </c>
      <c r="BI416" s="77">
        <f>IF($U$416="nulová",$N$416,0)</f>
        <v>0</v>
      </c>
      <c r="BJ416" s="6" t="s">
        <v>17</v>
      </c>
      <c r="BK416" s="77">
        <f>$L$416*$K$416</f>
        <v>0</v>
      </c>
    </row>
    <row r="417" spans="2:18" s="6" customFormat="1" ht="7.5" customHeight="1">
      <c r="B417" s="43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5"/>
    </row>
    <row r="418" s="2" customFormat="1" ht="14.25" customHeight="1"/>
  </sheetData>
  <sheetProtection/>
  <mergeCells count="686">
    <mergeCell ref="N381:Q381"/>
    <mergeCell ref="N403:Q403"/>
    <mergeCell ref="N407:Q407"/>
    <mergeCell ref="N411:Q411"/>
    <mergeCell ref="H1:K1"/>
    <mergeCell ref="S2:AC2"/>
    <mergeCell ref="N323:Q323"/>
    <mergeCell ref="N326:Q326"/>
    <mergeCell ref="N328:Q328"/>
    <mergeCell ref="N338:Q338"/>
    <mergeCell ref="N343:Q343"/>
    <mergeCell ref="N353:Q353"/>
    <mergeCell ref="N279:Q279"/>
    <mergeCell ref="N286:Q286"/>
    <mergeCell ref="N287:Q287"/>
    <mergeCell ref="N298:Q298"/>
    <mergeCell ref="N303:Q303"/>
    <mergeCell ref="N320:Q320"/>
    <mergeCell ref="F416:I416"/>
    <mergeCell ref="L416:M416"/>
    <mergeCell ref="N416:Q416"/>
    <mergeCell ref="N139:Q139"/>
    <mergeCell ref="N140:Q140"/>
    <mergeCell ref="N141:Q141"/>
    <mergeCell ref="N165:Q165"/>
    <mergeCell ref="N182:Q182"/>
    <mergeCell ref="N209:Q209"/>
    <mergeCell ref="N228:Q228"/>
    <mergeCell ref="F414:I414"/>
    <mergeCell ref="L414:M414"/>
    <mergeCell ref="N414:Q414"/>
    <mergeCell ref="F415:I415"/>
    <mergeCell ref="L415:M415"/>
    <mergeCell ref="N415:Q415"/>
    <mergeCell ref="F412:I412"/>
    <mergeCell ref="L412:M412"/>
    <mergeCell ref="N412:Q412"/>
    <mergeCell ref="F413:I413"/>
    <mergeCell ref="L413:M413"/>
    <mergeCell ref="N413:Q413"/>
    <mergeCell ref="F406:I406"/>
    <mergeCell ref="F408:I408"/>
    <mergeCell ref="L408:M408"/>
    <mergeCell ref="N408:Q408"/>
    <mergeCell ref="F409:I409"/>
    <mergeCell ref="F410:I410"/>
    <mergeCell ref="L410:M410"/>
    <mergeCell ref="N410:Q410"/>
    <mergeCell ref="F404:I404"/>
    <mergeCell ref="L404:M404"/>
    <mergeCell ref="N404:Q404"/>
    <mergeCell ref="F405:I405"/>
    <mergeCell ref="L405:M405"/>
    <mergeCell ref="N405:Q405"/>
    <mergeCell ref="F401:I401"/>
    <mergeCell ref="L401:M401"/>
    <mergeCell ref="N401:Q401"/>
    <mergeCell ref="F402:I402"/>
    <mergeCell ref="L402:M402"/>
    <mergeCell ref="N402:Q402"/>
    <mergeCell ref="F398:I398"/>
    <mergeCell ref="F399:I399"/>
    <mergeCell ref="L399:M399"/>
    <mergeCell ref="N399:Q399"/>
    <mergeCell ref="F400:I400"/>
    <mergeCell ref="L400:M400"/>
    <mergeCell ref="N400:Q400"/>
    <mergeCell ref="F395:I395"/>
    <mergeCell ref="F396:I396"/>
    <mergeCell ref="L396:M396"/>
    <mergeCell ref="N396:Q396"/>
    <mergeCell ref="F397:I397"/>
    <mergeCell ref="L397:M397"/>
    <mergeCell ref="N397:Q397"/>
    <mergeCell ref="F391:I391"/>
    <mergeCell ref="F392:I392"/>
    <mergeCell ref="L392:M392"/>
    <mergeCell ref="N392:Q392"/>
    <mergeCell ref="F393:I393"/>
    <mergeCell ref="F394:I394"/>
    <mergeCell ref="L394:M394"/>
    <mergeCell ref="N394:Q394"/>
    <mergeCell ref="F387:I387"/>
    <mergeCell ref="F388:I388"/>
    <mergeCell ref="L388:M388"/>
    <mergeCell ref="N388:Q388"/>
    <mergeCell ref="F389:I389"/>
    <mergeCell ref="F390:I390"/>
    <mergeCell ref="L390:M390"/>
    <mergeCell ref="N390:Q390"/>
    <mergeCell ref="F384:I384"/>
    <mergeCell ref="L384:M384"/>
    <mergeCell ref="N384:Q384"/>
    <mergeCell ref="F385:I385"/>
    <mergeCell ref="F386:I386"/>
    <mergeCell ref="L386:M386"/>
    <mergeCell ref="N386:Q386"/>
    <mergeCell ref="F382:I382"/>
    <mergeCell ref="L382:M382"/>
    <mergeCell ref="N382:Q382"/>
    <mergeCell ref="F383:I383"/>
    <mergeCell ref="L383:M383"/>
    <mergeCell ref="N383:Q383"/>
    <mergeCell ref="F379:I379"/>
    <mergeCell ref="L379:M379"/>
    <mergeCell ref="N379:Q379"/>
    <mergeCell ref="F380:I380"/>
    <mergeCell ref="L380:M380"/>
    <mergeCell ref="N380:Q380"/>
    <mergeCell ref="F376:I376"/>
    <mergeCell ref="F377:I377"/>
    <mergeCell ref="L377:M377"/>
    <mergeCell ref="N377:Q377"/>
    <mergeCell ref="F378:I378"/>
    <mergeCell ref="L378:M378"/>
    <mergeCell ref="N378:Q378"/>
    <mergeCell ref="F373:I373"/>
    <mergeCell ref="L373:M373"/>
    <mergeCell ref="N373:Q373"/>
    <mergeCell ref="F375:I375"/>
    <mergeCell ref="L375:M375"/>
    <mergeCell ref="N375:Q375"/>
    <mergeCell ref="N374:Q374"/>
    <mergeCell ref="F370:I370"/>
    <mergeCell ref="L370:M370"/>
    <mergeCell ref="N370:Q370"/>
    <mergeCell ref="F371:I371"/>
    <mergeCell ref="F372:I372"/>
    <mergeCell ref="L372:M372"/>
    <mergeCell ref="N372:Q372"/>
    <mergeCell ref="F367:I367"/>
    <mergeCell ref="L367:M367"/>
    <mergeCell ref="N367:Q367"/>
    <mergeCell ref="F368:I368"/>
    <mergeCell ref="F369:I369"/>
    <mergeCell ref="L369:M369"/>
    <mergeCell ref="N369:Q369"/>
    <mergeCell ref="F364:I364"/>
    <mergeCell ref="F365:I365"/>
    <mergeCell ref="L365:M365"/>
    <mergeCell ref="N365:Q365"/>
    <mergeCell ref="F366:I366"/>
    <mergeCell ref="L366:M366"/>
    <mergeCell ref="N366:Q366"/>
    <mergeCell ref="F362:I362"/>
    <mergeCell ref="L362:M362"/>
    <mergeCell ref="N362:Q362"/>
    <mergeCell ref="F363:I363"/>
    <mergeCell ref="L363:M363"/>
    <mergeCell ref="N363:Q363"/>
    <mergeCell ref="F359:I359"/>
    <mergeCell ref="F360:I360"/>
    <mergeCell ref="L360:M360"/>
    <mergeCell ref="N360:Q360"/>
    <mergeCell ref="F361:I361"/>
    <mergeCell ref="L361:M361"/>
    <mergeCell ref="N361:Q361"/>
    <mergeCell ref="F356:I356"/>
    <mergeCell ref="L356:M356"/>
    <mergeCell ref="N356:Q356"/>
    <mergeCell ref="F358:I358"/>
    <mergeCell ref="L358:M358"/>
    <mergeCell ref="N358:Q358"/>
    <mergeCell ref="N357:Q357"/>
    <mergeCell ref="F354:I354"/>
    <mergeCell ref="L354:M354"/>
    <mergeCell ref="N354:Q354"/>
    <mergeCell ref="F355:I355"/>
    <mergeCell ref="L355:M355"/>
    <mergeCell ref="N355:Q355"/>
    <mergeCell ref="F350:I350"/>
    <mergeCell ref="F351:I351"/>
    <mergeCell ref="L351:M351"/>
    <mergeCell ref="N351:Q351"/>
    <mergeCell ref="F352:I352"/>
    <mergeCell ref="L352:M352"/>
    <mergeCell ref="N352:Q352"/>
    <mergeCell ref="F347:I347"/>
    <mergeCell ref="L347:M347"/>
    <mergeCell ref="N347:Q347"/>
    <mergeCell ref="F348:I348"/>
    <mergeCell ref="F349:I349"/>
    <mergeCell ref="L349:M349"/>
    <mergeCell ref="N349:Q349"/>
    <mergeCell ref="F344:I344"/>
    <mergeCell ref="L344:M344"/>
    <mergeCell ref="N344:Q344"/>
    <mergeCell ref="F345:I345"/>
    <mergeCell ref="F346:I346"/>
    <mergeCell ref="L346:M346"/>
    <mergeCell ref="N346:Q346"/>
    <mergeCell ref="F340:I340"/>
    <mergeCell ref="F341:I341"/>
    <mergeCell ref="L341:M341"/>
    <mergeCell ref="N341:Q341"/>
    <mergeCell ref="F342:I342"/>
    <mergeCell ref="L342:M342"/>
    <mergeCell ref="N342:Q342"/>
    <mergeCell ref="F336:I336"/>
    <mergeCell ref="F337:I337"/>
    <mergeCell ref="L337:M337"/>
    <mergeCell ref="N337:Q337"/>
    <mergeCell ref="F339:I339"/>
    <mergeCell ref="L339:M339"/>
    <mergeCell ref="N339:Q339"/>
    <mergeCell ref="F333:I333"/>
    <mergeCell ref="L333:M333"/>
    <mergeCell ref="N333:Q333"/>
    <mergeCell ref="F334:I334"/>
    <mergeCell ref="F335:I335"/>
    <mergeCell ref="L335:M335"/>
    <mergeCell ref="N335:Q335"/>
    <mergeCell ref="F330:I330"/>
    <mergeCell ref="L330:M330"/>
    <mergeCell ref="N330:Q330"/>
    <mergeCell ref="F331:I331"/>
    <mergeCell ref="F332:I332"/>
    <mergeCell ref="L332:M332"/>
    <mergeCell ref="N332:Q332"/>
    <mergeCell ref="F327:I327"/>
    <mergeCell ref="L327:M327"/>
    <mergeCell ref="N327:Q327"/>
    <mergeCell ref="F329:I329"/>
    <mergeCell ref="L329:M329"/>
    <mergeCell ref="N329:Q329"/>
    <mergeCell ref="F324:I324"/>
    <mergeCell ref="L324:M324"/>
    <mergeCell ref="N324:Q324"/>
    <mergeCell ref="F325:I325"/>
    <mergeCell ref="L325:M325"/>
    <mergeCell ref="N325:Q325"/>
    <mergeCell ref="F321:I321"/>
    <mergeCell ref="L321:M321"/>
    <mergeCell ref="N321:Q321"/>
    <mergeCell ref="F322:I322"/>
    <mergeCell ref="L322:M322"/>
    <mergeCell ref="N322:Q322"/>
    <mergeCell ref="F317:I317"/>
    <mergeCell ref="F318:I318"/>
    <mergeCell ref="L318:M318"/>
    <mergeCell ref="N318:Q318"/>
    <mergeCell ref="F319:I319"/>
    <mergeCell ref="L319:M319"/>
    <mergeCell ref="N319:Q319"/>
    <mergeCell ref="F314:I314"/>
    <mergeCell ref="F315:I315"/>
    <mergeCell ref="L315:M315"/>
    <mergeCell ref="N315:Q315"/>
    <mergeCell ref="F316:I316"/>
    <mergeCell ref="L316:M316"/>
    <mergeCell ref="N316:Q316"/>
    <mergeCell ref="F311:I311"/>
    <mergeCell ref="L311:M311"/>
    <mergeCell ref="N311:Q311"/>
    <mergeCell ref="F312:I312"/>
    <mergeCell ref="F313:I313"/>
    <mergeCell ref="L313:M313"/>
    <mergeCell ref="N313:Q313"/>
    <mergeCell ref="F308:I308"/>
    <mergeCell ref="L308:M308"/>
    <mergeCell ref="N308:Q308"/>
    <mergeCell ref="F309:I309"/>
    <mergeCell ref="F310:I310"/>
    <mergeCell ref="L310:M310"/>
    <mergeCell ref="N310:Q310"/>
    <mergeCell ref="F305:I305"/>
    <mergeCell ref="F306:I306"/>
    <mergeCell ref="L306:M306"/>
    <mergeCell ref="N306:Q306"/>
    <mergeCell ref="F307:I307"/>
    <mergeCell ref="L307:M307"/>
    <mergeCell ref="N307:Q307"/>
    <mergeCell ref="F302:I302"/>
    <mergeCell ref="L302:M302"/>
    <mergeCell ref="N302:Q302"/>
    <mergeCell ref="F304:I304"/>
    <mergeCell ref="L304:M304"/>
    <mergeCell ref="N304:Q304"/>
    <mergeCell ref="F299:I299"/>
    <mergeCell ref="L299:M299"/>
    <mergeCell ref="N299:Q299"/>
    <mergeCell ref="F300:I300"/>
    <mergeCell ref="F301:I301"/>
    <mergeCell ref="L301:M301"/>
    <mergeCell ref="N301:Q301"/>
    <mergeCell ref="F296:I296"/>
    <mergeCell ref="L296:M296"/>
    <mergeCell ref="N296:Q296"/>
    <mergeCell ref="F297:I297"/>
    <mergeCell ref="L297:M297"/>
    <mergeCell ref="N297:Q297"/>
    <mergeCell ref="F294:I294"/>
    <mergeCell ref="L294:M294"/>
    <mergeCell ref="N294:Q294"/>
    <mergeCell ref="F295:I295"/>
    <mergeCell ref="L295:M295"/>
    <mergeCell ref="N295:Q295"/>
    <mergeCell ref="F292:I292"/>
    <mergeCell ref="L292:M292"/>
    <mergeCell ref="N292:Q292"/>
    <mergeCell ref="F293:I293"/>
    <mergeCell ref="L293:M293"/>
    <mergeCell ref="N293:Q293"/>
    <mergeCell ref="F289:I289"/>
    <mergeCell ref="F290:I290"/>
    <mergeCell ref="L290:M290"/>
    <mergeCell ref="N290:Q290"/>
    <mergeCell ref="F291:I291"/>
    <mergeCell ref="L291:M291"/>
    <mergeCell ref="N291:Q291"/>
    <mergeCell ref="F285:I285"/>
    <mergeCell ref="L285:M285"/>
    <mergeCell ref="N285:Q285"/>
    <mergeCell ref="F288:I288"/>
    <mergeCell ref="L288:M288"/>
    <mergeCell ref="N288:Q288"/>
    <mergeCell ref="F282:I282"/>
    <mergeCell ref="L282:M282"/>
    <mergeCell ref="N282:Q282"/>
    <mergeCell ref="F283:I283"/>
    <mergeCell ref="F284:I284"/>
    <mergeCell ref="L284:M284"/>
    <mergeCell ref="N284:Q284"/>
    <mergeCell ref="F280:I280"/>
    <mergeCell ref="L280:M280"/>
    <mergeCell ref="N280:Q280"/>
    <mergeCell ref="F281:I281"/>
    <mergeCell ref="L281:M281"/>
    <mergeCell ref="N281:Q281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67:I267"/>
    <mergeCell ref="F268:I268"/>
    <mergeCell ref="L268:M268"/>
    <mergeCell ref="N268:Q268"/>
    <mergeCell ref="F269:I269"/>
    <mergeCell ref="F270:I270"/>
    <mergeCell ref="L270:M270"/>
    <mergeCell ref="N270:Q270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59:I259"/>
    <mergeCell ref="F260:I260"/>
    <mergeCell ref="L260:M260"/>
    <mergeCell ref="N260:Q260"/>
    <mergeCell ref="F261:I261"/>
    <mergeCell ref="F262:I262"/>
    <mergeCell ref="L262:M262"/>
    <mergeCell ref="N262:Q262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F252:I252"/>
    <mergeCell ref="L252:M252"/>
    <mergeCell ref="N252:Q252"/>
    <mergeCell ref="N251:Q251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1:I241"/>
    <mergeCell ref="F242:I242"/>
    <mergeCell ref="F243:I243"/>
    <mergeCell ref="F244:I244"/>
    <mergeCell ref="L244:M244"/>
    <mergeCell ref="N244:Q244"/>
    <mergeCell ref="F238:I238"/>
    <mergeCell ref="L238:M238"/>
    <mergeCell ref="N238:Q238"/>
    <mergeCell ref="F239:I239"/>
    <mergeCell ref="F240:I240"/>
    <mergeCell ref="L240:M240"/>
    <mergeCell ref="N240:Q240"/>
    <mergeCell ref="F234:I234"/>
    <mergeCell ref="L234:M234"/>
    <mergeCell ref="N234:Q234"/>
    <mergeCell ref="F235:I235"/>
    <mergeCell ref="F236:I236"/>
    <mergeCell ref="F237:I237"/>
    <mergeCell ref="F230:I230"/>
    <mergeCell ref="F231:I231"/>
    <mergeCell ref="L231:M231"/>
    <mergeCell ref="N231:Q231"/>
    <mergeCell ref="F233:I233"/>
    <mergeCell ref="L233:M233"/>
    <mergeCell ref="N233:Q233"/>
    <mergeCell ref="N232:Q232"/>
    <mergeCell ref="F226:I226"/>
    <mergeCell ref="F227:I227"/>
    <mergeCell ref="L227:M227"/>
    <mergeCell ref="N227:Q227"/>
    <mergeCell ref="F229:I229"/>
    <mergeCell ref="L229:M229"/>
    <mergeCell ref="N229:Q229"/>
    <mergeCell ref="F223:I223"/>
    <mergeCell ref="F224:I224"/>
    <mergeCell ref="L224:M224"/>
    <mergeCell ref="N224:Q224"/>
    <mergeCell ref="F225:I225"/>
    <mergeCell ref="L225:M225"/>
    <mergeCell ref="N225:Q225"/>
    <mergeCell ref="F220:I220"/>
    <mergeCell ref="F221:I221"/>
    <mergeCell ref="L221:M221"/>
    <mergeCell ref="N221:Q221"/>
    <mergeCell ref="F222:I222"/>
    <mergeCell ref="L222:M222"/>
    <mergeCell ref="N222:Q222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13:I213"/>
    <mergeCell ref="L213:M213"/>
    <mergeCell ref="N213:Q213"/>
    <mergeCell ref="F214:I214"/>
    <mergeCell ref="F215:I215"/>
    <mergeCell ref="L215:M215"/>
    <mergeCell ref="N215:Q215"/>
    <mergeCell ref="F211:I211"/>
    <mergeCell ref="L211:M211"/>
    <mergeCell ref="N211:Q211"/>
    <mergeCell ref="F212:I212"/>
    <mergeCell ref="L212:M212"/>
    <mergeCell ref="N212:Q212"/>
    <mergeCell ref="F207:I207"/>
    <mergeCell ref="F208:I208"/>
    <mergeCell ref="L208:M208"/>
    <mergeCell ref="N208:Q208"/>
    <mergeCell ref="F210:I210"/>
    <mergeCell ref="L210:M210"/>
    <mergeCell ref="N210:Q210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0:I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F199:I199"/>
    <mergeCell ref="L199:M199"/>
    <mergeCell ref="N199:Q199"/>
    <mergeCell ref="F195:I195"/>
    <mergeCell ref="L195:M195"/>
    <mergeCell ref="N195:Q195"/>
    <mergeCell ref="F196:I196"/>
    <mergeCell ref="L196:M196"/>
    <mergeCell ref="N196:Q196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87:I187"/>
    <mergeCell ref="F188:I188"/>
    <mergeCell ref="F189:I189"/>
    <mergeCell ref="L189:M189"/>
    <mergeCell ref="N189:Q189"/>
    <mergeCell ref="F190:I190"/>
    <mergeCell ref="F183:I183"/>
    <mergeCell ref="L183:M183"/>
    <mergeCell ref="N183:Q183"/>
    <mergeCell ref="F184:I184"/>
    <mergeCell ref="F185:I185"/>
    <mergeCell ref="F186:I186"/>
    <mergeCell ref="F179:I179"/>
    <mergeCell ref="L179:M179"/>
    <mergeCell ref="N179:Q179"/>
    <mergeCell ref="F180:I180"/>
    <mergeCell ref="F181:I181"/>
    <mergeCell ref="L181:M181"/>
    <mergeCell ref="N181:Q181"/>
    <mergeCell ref="F175:I175"/>
    <mergeCell ref="L175:M175"/>
    <mergeCell ref="N175:Q175"/>
    <mergeCell ref="F176:I176"/>
    <mergeCell ref="F177:I177"/>
    <mergeCell ref="F178:I178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63:I163"/>
    <mergeCell ref="F164:I164"/>
    <mergeCell ref="L164:M164"/>
    <mergeCell ref="N164:Q164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53:I153"/>
    <mergeCell ref="F154:I154"/>
    <mergeCell ref="F155:I155"/>
    <mergeCell ref="F156:I156"/>
    <mergeCell ref="L156:M156"/>
    <mergeCell ref="N156:Q156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46:I146"/>
    <mergeCell ref="L146:M146"/>
    <mergeCell ref="N146:Q146"/>
    <mergeCell ref="F147:I147"/>
    <mergeCell ref="F148:I148"/>
    <mergeCell ref="L148:M148"/>
    <mergeCell ref="N148:Q148"/>
    <mergeCell ref="F143:I143"/>
    <mergeCell ref="F144:I144"/>
    <mergeCell ref="L144:M144"/>
    <mergeCell ref="N144:Q144"/>
    <mergeCell ref="F145:I145"/>
    <mergeCell ref="L145:M145"/>
    <mergeCell ref="N145:Q145"/>
    <mergeCell ref="M136:Q136"/>
    <mergeCell ref="F138:I138"/>
    <mergeCell ref="L138:M138"/>
    <mergeCell ref="N138:Q138"/>
    <mergeCell ref="F142:I142"/>
    <mergeCell ref="L142:M142"/>
    <mergeCell ref="N142:Q142"/>
    <mergeCell ref="N121:Q121"/>
    <mergeCell ref="L123:Q123"/>
    <mergeCell ref="C129:Q129"/>
    <mergeCell ref="F131:P131"/>
    <mergeCell ref="M133:P133"/>
    <mergeCell ref="M135:Q135"/>
    <mergeCell ref="D118:H118"/>
    <mergeCell ref="N118:Q118"/>
    <mergeCell ref="D119:H119"/>
    <mergeCell ref="N119:Q119"/>
    <mergeCell ref="D120:H120"/>
    <mergeCell ref="N120:Q120"/>
    <mergeCell ref="N113:Q113"/>
    <mergeCell ref="N115:Q115"/>
    <mergeCell ref="D116:H116"/>
    <mergeCell ref="N116:Q116"/>
    <mergeCell ref="D117:H117"/>
    <mergeCell ref="N117:Q117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412:D417">
      <formula1>"K,M"</formula1>
    </dataValidation>
    <dataValidation type="list" allowBlank="1" showInputMessage="1" showErrorMessage="1" error="Povoleny jsou hodnoty základní, snížená, zákl. přenesená, sníž. přenesená, nulová." sqref="U412:U41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3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</cp:lastModifiedBy>
  <dcterms:modified xsi:type="dcterms:W3CDTF">2013-04-29T10:08:23Z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