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62 - Oprava balkónů byt..." sheetId="2" r:id="rId2"/>
  </sheets>
  <definedNames>
    <definedName name="_xlnm.Print_Titles" localSheetId="1">'1362 - Oprava balkónů byt...'!$125:$125</definedName>
    <definedName name="_xlnm.Print_Titles" localSheetId="0">'Rekapitulace stavby'!$85:$85</definedName>
    <definedName name="_xlnm.Print_Area" localSheetId="1">'1362 - Oprava balkónů byt...'!$C$4:$Q$70,'1362 - Oprava balkónů byt...'!$C$76:$Q$110,'1362 - Oprava balkónů byt...'!$C$116:$Q$224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<sst xmlns="http://schemas.openxmlformats.org/spreadsheetml/2006/main" count="1210" uniqueCount="334">
  <si>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</si>
  <si>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</si>
  <si>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</si>
  <si>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</si>
  <si>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</si>
  <si>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</si>
  <si>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</si>
  <si>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</si>
  <si>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</si>
  <si>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</si>
  <si>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</si>
  <si>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</si>
  <si>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</si>
  <si>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</si>
  <si>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1362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</si>
  <si>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</si>
  <si>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</si>
  <si>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Oprava balkónů bytového domu</t>
  </si>
  <si>
    <t>0,1</t>
  </si>
  <si>
    <t>JKSO:</t>
  </si>
  <si>
    <t>CC-CZ:</t>
  </si>
  <si>
    <t>1</t>
  </si>
  <si>
    <t>Místo:</t>
  </si>
  <si>
    <t>Kolín</t>
  </si>
  <si>
    <t>Datum:</t>
  </si>
  <si>
    <t>28.11.2013</t>
  </si>
  <si>
    <t>10</t>
  </si>
  <si>
    <t>100</t>
  </si>
  <si>
    <t>Objednavatel:</t>
  </si>
  <si>
    <t>IČ:</t>
  </si>
  <si>
    <t>Město Kolín, Karlovo nám. čp. 78, 280 02 Kolín 1</t>
  </si>
  <si>
    <t>DIČ:</t>
  </si>
  <si>
    <t>Zhotovitel:</t>
  </si>
  <si>
    <t>Vyplň údaj</t>
  </si>
  <si>
    <t>Projektant:</t>
  </si>
  <si>
    <t>Ing. Karel Vrátný, Rubešova 60, 280 02 Kolín 1</t>
  </si>
  <si>
    <t>True</t>
  </si>
  <si>
    <t>Zpracovatel:</t>
  </si>
  <si>
    <t>Alena Vrátná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</si>
  <si>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</si>
  <si>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</si>
  <si>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</si>
  <si>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</si>
  <si>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</si>
  <si>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</si>
  <si>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</si>
  <si>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</si>
  <si>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</si>
  <si>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</si>
  <si>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</si>
  <si>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</si>
  <si>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</si>
  <si>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</si>
  <si>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</si>
  <si>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</si>
  <si>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</si>
  <si>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</si>
  <si>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</si>
  <si>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</si>
  <si>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</si>
  <si>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</si>
  <si>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</si>
  <si>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</si>
  <si>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</si>
  <si>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</si>
  <si>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</si>
  <si>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</si>
  <si>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</si>
  <si>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</si>
  <si>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</si>
  <si>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</si>
  <si>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</si>
  <si>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</si>
  <si>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</si>
  <si>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</si>
  <si>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</si>
  <si>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</si>
  <si>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</si>
  <si>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</si>
  <si>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</si>
  <si>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{55CCECDD-BEF7-4495-802B-BACEF92CAC89}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</si>
  <si>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</si>
  <si>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</si>
  <si>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</si>
  <si>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</si>
  <si>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</si>
  <si>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</si>
  <si>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</si>
  <si>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</si>
  <si>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</si>
  <si>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</si>
  <si>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</si>
  <si>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</si>
  <si>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</si>
  <si>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</si>
  <si>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dle výběru investora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</si>
  <si>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</si>
  <si>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</si>
  <si>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</si>
  <si>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</si>
  <si>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</si>
  <si>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</si>
  <si>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</si>
  <si>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</si>
  <si>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</si>
  <si>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</si>
  <si>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</si>
  <si>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</si>
  <si>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</si>
  <si>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</si>
  <si>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</si>
  <si>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</si>
  <si>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</si>
  <si>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789 - Povrchové úpravy ocelových konstrukcí a technologických zařízení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</si>
  <si>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</si>
  <si>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</si>
  <si>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</si>
  <si>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</si>
  <si>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</si>
  <si>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</si>
  <si>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</si>
  <si>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</si>
  <si>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</si>
  <si>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</si>
  <si>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</si>
  <si>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</si>
  <si>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</si>
  <si>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</si>
  <si>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</si>
  <si>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</si>
  <si>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</si>
  <si>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</si>
  <si>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</si>
  <si>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</si>
  <si>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</si>
  <si>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</si>
  <si>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</si>
  <si>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</si>
  <si>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</si>
  <si>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</si>
  <si>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</si>
  <si>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317944323</t>
  </si>
  <si>
    <t>Válcované nosníky č.14 až 22 dodatečně osazované do připravených otvorů</t>
  </si>
  <si>
    <t>t</t>
  </si>
  <si>
    <t>4</t>
  </si>
  <si>
    <t>29,42*3,65*6/1000+9,2*(18,8+8,64)/1000</t>
  </si>
  <si>
    <t>VV</t>
  </si>
  <si>
    <t>M</t>
  </si>
  <si>
    <t>134325900</t>
  </si>
  <si>
    <t>tyč ocelová L rovnoramenná, jakost S 235 JR160x160x14 mm</t>
  </si>
  <si>
    <t>8</t>
  </si>
  <si>
    <t>27,6*33,87/1000*1,08</t>
  </si>
  <si>
    <t>3</t>
  </si>
  <si>
    <t>133844200</t>
  </si>
  <si>
    <t>tyč ocelová U, značka oceli S 235 JR, označení průřezu 80</t>
  </si>
  <si>
    <t>9,2*8,64/1000*1,08</t>
  </si>
  <si>
    <t>133844400</t>
  </si>
  <si>
    <t>tyč ocelová U, značka oceli S 235 JR, označení průřezu 160</t>
  </si>
  <si>
    <t>9,2*18,8/1000*1,08</t>
  </si>
  <si>
    <t>5</t>
  </si>
  <si>
    <t>31794R001</t>
  </si>
  <si>
    <t xml:space="preserve">výroba obvod. rámu vč. oblouků, kotvení pomocí chemickýc kotev </t>
  </si>
  <si>
    <t>m</t>
  </si>
  <si>
    <t>9,2*3</t>
  </si>
  <si>
    <t>6</t>
  </si>
  <si>
    <t>411321515</t>
  </si>
  <si>
    <t>Stropy deskové ze ŽB tř. C 20/25</t>
  </si>
  <si>
    <t>m3</t>
  </si>
  <si>
    <t>7,8*0,06*3</t>
  </si>
  <si>
    <t>7</t>
  </si>
  <si>
    <t>411351101</t>
  </si>
  <si>
    <t>Zřízení bednění stropů deskových</t>
  </si>
  <si>
    <t>m2</t>
  </si>
  <si>
    <t>7,8*3</t>
  </si>
  <si>
    <t>411351102</t>
  </si>
  <si>
    <t>Odstranění bednění stropů deskových</t>
  </si>
  <si>
    <t>9</t>
  </si>
  <si>
    <t>411354171</t>
  </si>
  <si>
    <t>Zřízení podpěrné konstrukce stropů v do 4 m pro zatížení do 5 kPa</t>
  </si>
  <si>
    <t>411354172</t>
  </si>
  <si>
    <t>Odstranění podpěrné konstrukce stropů v do 4 m pro zatížení do 5 kPa</t>
  </si>
  <si>
    <t>11</t>
  </si>
  <si>
    <t>411361221</t>
  </si>
  <si>
    <t>Výztuž stropů betonářskou ocelí 10 216</t>
  </si>
  <si>
    <t>7,8*4,4*3/1000</t>
  </si>
  <si>
    <t>12</t>
  </si>
  <si>
    <t>413232211</t>
  </si>
  <si>
    <t>Zazdívka zhlaví válcovaných nosníků v do 150 mm</t>
  </si>
  <si>
    <t>kus</t>
  </si>
  <si>
    <t>13</t>
  </si>
  <si>
    <t>629995101</t>
  </si>
  <si>
    <t>Očištění vnějších ploch tlakovou vodou</t>
  </si>
  <si>
    <t>(2,05+3,35)*1,25/2*6*2+0,2*(3,35*6+0,1*3,35*6)</t>
  </si>
  <si>
    <t>14</t>
  </si>
  <si>
    <t>632451446</t>
  </si>
  <si>
    <t>Potěr pískocementový tl do 40 mm tř. C 25 běžný</t>
  </si>
  <si>
    <t>(2,85+3,35)*1,25/2*6+6,5*1,2*3</t>
  </si>
  <si>
    <t>632451491</t>
  </si>
  <si>
    <t>Příplatek k potěrům za přehlazení povrchu</t>
  </si>
  <si>
    <t>16</t>
  </si>
  <si>
    <t>941111122</t>
  </si>
  <si>
    <t>Montáž lešení řadového trubkového lehkého s podlahami zatížení do 200 kg/m2 š do 1,2 m v do 25 m</t>
  </si>
  <si>
    <t>(3,35*2+6,5)*11</t>
  </si>
  <si>
    <t>17</t>
  </si>
  <si>
    <t>941111222</t>
  </si>
  <si>
    <t>Příplatek k lešení řadovému trubkovému lehkému s podlahami š 1,2 m v 25 m za první a ZKD den použití</t>
  </si>
  <si>
    <t>145,200*30</t>
  </si>
  <si>
    <t>18</t>
  </si>
  <si>
    <t>941111822</t>
  </si>
  <si>
    <t>Demontáž lešení řadového trubkového lehkého s podlahami zatížení do 200 kg/m2 š do 1,2 m v do 25 m</t>
  </si>
  <si>
    <t>19</t>
  </si>
  <si>
    <t>95290R001</t>
  </si>
  <si>
    <t xml:space="preserve">Vyčištění staveniště </t>
  </si>
  <si>
    <t>20</t>
  </si>
  <si>
    <t>963011513</t>
  </si>
  <si>
    <t>Bourání stropů z tvárnic pálených do ŽB nosníků v do 300 mm - adekv. balkony</t>
  </si>
  <si>
    <t>965043331</t>
  </si>
  <si>
    <t>Bourání podkladů pod dlažby betonových s potěrem nebo teracem tl do 100 mm pl do 4 m2</t>
  </si>
  <si>
    <t>(2,85+3,35)*1,25/2*6*0,05"</t>
  </si>
  <si>
    <t>Součet</t>
  </si>
  <si>
    <t>22</t>
  </si>
  <si>
    <t>973031324</t>
  </si>
  <si>
    <t>Vysekání kapes ve zdivu cihelném na MV nebo MVC pl do 0,10 m2 hl do 150 mm</t>
  </si>
  <si>
    <t>23</t>
  </si>
  <si>
    <t>997013501</t>
  </si>
  <si>
    <t>Odvoz suti na skládku a vybouraných hmot nebo meziskládku do 1 km se složením</t>
  </si>
  <si>
    <t>24</t>
  </si>
  <si>
    <t>997013509</t>
  </si>
  <si>
    <t>Příplatek k odvozu suti a vybouraných hmot na skládku ZKD 1 km přes 1 km</t>
  </si>
  <si>
    <t>8,44*19</t>
  </si>
  <si>
    <t>25</t>
  </si>
  <si>
    <t>997013831</t>
  </si>
  <si>
    <t>Poplatek za uložení stavebního směsného odpadu na skládce (skládkovné)</t>
  </si>
  <si>
    <t>26</t>
  </si>
  <si>
    <t>998011002</t>
  </si>
  <si>
    <t>Přesun hmot pro budovy zděné v do 12 m</t>
  </si>
  <si>
    <t>27</t>
  </si>
  <si>
    <t>711113115</t>
  </si>
  <si>
    <t>Izolace proti zemní vlhkosti na vodorovné ploše za studena těsnicí hmotou COMBIFLEX-C2</t>
  </si>
  <si>
    <t>23,25+23,4</t>
  </si>
  <si>
    <t>28</t>
  </si>
  <si>
    <t>711113125</t>
  </si>
  <si>
    <t>Izolace proti zemní vlhkosti na svislé ploše za studena těsnicí hmotou COMBIFLEX-C2</t>
  </si>
  <si>
    <t>(2,85+1,35+1,2)*0,1*6+6,5*0,1*3</t>
  </si>
  <si>
    <t>29</t>
  </si>
  <si>
    <t>711714111</t>
  </si>
  <si>
    <t>Izolace proti vodě provedení detailů vytvoření adhezního můstku modifikovanou maltou</t>
  </si>
  <si>
    <t>(2,85+3,35)*1,25/2*6</t>
  </si>
  <si>
    <t>30</t>
  </si>
  <si>
    <t>245512760</t>
  </si>
  <si>
    <t>ochrana výztuže a adhezní můstek ASOCRET-KS/HB bal. 25 kg</t>
  </si>
  <si>
    <t>kg</t>
  </si>
  <si>
    <t>32</t>
  </si>
  <si>
    <t>31</t>
  </si>
  <si>
    <t>998711202</t>
  </si>
  <si>
    <t>Přesun hmot procentní pro izolace proti vodě, vlhkosti a plynům v objektech v do 12 m</t>
  </si>
  <si>
    <t>%</t>
  </si>
  <si>
    <t>76442183R</t>
  </si>
  <si>
    <t>Demontáž oplechování rš do 200 mm - okapová lišta</t>
  </si>
  <si>
    <t>33</t>
  </si>
  <si>
    <t>76472111R</t>
  </si>
  <si>
    <t>Oplechování Lindab rš 200 mm - okapová lišta</t>
  </si>
  <si>
    <t>3,35*6+8,9*3</t>
  </si>
  <si>
    <t>34</t>
  </si>
  <si>
    <t>998764202</t>
  </si>
  <si>
    <t>Přesun hmot procentní pro konstrukce klempířské v objektech v do 12 m</t>
  </si>
  <si>
    <t>35</t>
  </si>
  <si>
    <t>76711R002</t>
  </si>
  <si>
    <t>Dodávka + montáž dělící stěny š. 1,2 m, v. 2,3 m vč. povrchové úpravy</t>
  </si>
  <si>
    <t>36</t>
  </si>
  <si>
    <t>767161123</t>
  </si>
  <si>
    <t>Montáž zábradlí rovného z trubek do ocelové konstrukce hmotnosti do 20 kg</t>
  </si>
  <si>
    <t>37</t>
  </si>
  <si>
    <t>13892R001</t>
  </si>
  <si>
    <t>dodávka + výroba zábradlí v. 1,1 m, antikorozní nátěr</t>
  </si>
  <si>
    <t>38</t>
  </si>
  <si>
    <t>767161823</t>
  </si>
  <si>
    <t>Demontáž zábradlí  nerozebíratelného hmotnosti 1m zábradlí do 20 kg</t>
  </si>
  <si>
    <t>39</t>
  </si>
  <si>
    <t>76716R001</t>
  </si>
  <si>
    <t xml:space="preserve">Ukotvení zábradlí do zdiva </t>
  </si>
  <si>
    <t>40</t>
  </si>
  <si>
    <t>767995113</t>
  </si>
  <si>
    <t>Montáž atypických zámečnických konstrukcí hmotnosti do 20 kg</t>
  </si>
  <si>
    <t>(1,5+0,9*2)*37,35"Jakl 120/100/8</t>
  </si>
  <si>
    <t>0,2*0,2*6*66,8"plotny</t>
  </si>
  <si>
    <t>41</t>
  </si>
  <si>
    <t>145620</t>
  </si>
  <si>
    <t>materiál jakl, plotny</t>
  </si>
  <si>
    <t>139,287/1000*1,08</t>
  </si>
  <si>
    <t>42</t>
  </si>
  <si>
    <t>76799R001</t>
  </si>
  <si>
    <t>Kotvení do zdiva a do Uč. 160 přes ocelové plotny</t>
  </si>
  <si>
    <t>43</t>
  </si>
  <si>
    <t>998767202</t>
  </si>
  <si>
    <t>Přesun hmot procentní pro zámečnické konstrukce v objektech v do 12 m</t>
  </si>
  <si>
    <t>44</t>
  </si>
  <si>
    <t>771471113</t>
  </si>
  <si>
    <t>Montáž soklíků z dlaždic keramických rovných do malty v do 120 mm</t>
  </si>
  <si>
    <t>(2,85-0,9+1,2+1,3)*6+6,5*3</t>
  </si>
  <si>
    <t>45</t>
  </si>
  <si>
    <t>771574112</t>
  </si>
  <si>
    <t>Montáž podlah keramických režných hladkých lepených flexibilním lepidlem do 9 ks/m2</t>
  </si>
  <si>
    <t>(2,85+3,35)*1,25/2*6+7,8*3</t>
  </si>
  <si>
    <t>46</t>
  </si>
  <si>
    <t>597614080</t>
  </si>
  <si>
    <t>dlaždice keramické slinuté neglazované mrazuvzdorné TAURUS Color Light Grey S 29,8 x 29,8 x 0,9 cm</t>
  </si>
  <si>
    <t>47</t>
  </si>
  <si>
    <t>771579191</t>
  </si>
  <si>
    <t>Příplatek k montáž podlah keramických za plochu do 5 m2</t>
  </si>
  <si>
    <t>48</t>
  </si>
  <si>
    <t>771579196</t>
  </si>
  <si>
    <t>Příplatek k montáž podlah keramických za spárování tmelem dvousložkovým</t>
  </si>
  <si>
    <t>49</t>
  </si>
  <si>
    <t>771591162</t>
  </si>
  <si>
    <t>Montáž profilu dilatační spáry koutové bez izolace dlažeb</t>
  </si>
  <si>
    <t>53</t>
  </si>
  <si>
    <t>286163200</t>
  </si>
  <si>
    <t>páska dilatační okrajová extrud PE s folií</t>
  </si>
  <si>
    <t>51</t>
  </si>
  <si>
    <t>998771202</t>
  </si>
  <si>
    <t>Přesun hmot procentní pro podlahy z dlaždic v objektech v do 12 m</t>
  </si>
  <si>
    <t>52</t>
  </si>
  <si>
    <t>789221111</t>
  </si>
  <si>
    <t>Otryskání ocelových konstrukcí třídy I povrch jemný a střední A na Sa 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</si>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</sst>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4D3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E8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327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328</v>
      </c>
      <c r="X1" s="220"/>
      <c r="Y1" s="220"/>
      <c r="Z1" s="220"/>
      <c r="AA1" s="220"/>
      <c r="AB1" s="220"/>
      <c r="AC1" s="220"/>
      <c r="AD1" s="220"/>
      <c r="AE1" s="220"/>
      <c r="AF1" s="220"/>
      <c r="AG1" s="218"/>
      <c r="AH1" s="2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86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3" t="s">
        <v>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7" t="s">
        <v>14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Q5" s="11"/>
      <c r="BE5" s="154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8" t="s">
        <v>17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Q6" s="11"/>
      <c r="BE6" s="152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2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52"/>
      <c r="BS8" s="6" t="s">
        <v>26</v>
      </c>
    </row>
    <row r="9" spans="2:71" s="2" customFormat="1" ht="15" customHeight="1">
      <c r="B9" s="10"/>
      <c r="AQ9" s="11"/>
      <c r="BE9" s="152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52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52"/>
      <c r="BS11" s="6" t="s">
        <v>18</v>
      </c>
    </row>
    <row r="12" spans="2:71" s="2" customFormat="1" ht="7.5" customHeight="1">
      <c r="B12" s="10"/>
      <c r="AQ12" s="11"/>
      <c r="BE12" s="152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52"/>
      <c r="BS13" s="6" t="s">
        <v>18</v>
      </c>
    </row>
    <row r="14" spans="2:71" s="2" customFormat="1" ht="15.75" customHeight="1">
      <c r="B14" s="10"/>
      <c r="E14" s="159" t="s">
        <v>33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7" t="s">
        <v>31</v>
      </c>
      <c r="AN14" s="19" t="s">
        <v>33</v>
      </c>
      <c r="AQ14" s="11"/>
      <c r="BE14" s="152"/>
      <c r="BS14" s="6" t="s">
        <v>18</v>
      </c>
    </row>
    <row r="15" spans="2:71" s="2" customFormat="1" ht="7.5" customHeight="1">
      <c r="B15" s="10"/>
      <c r="AQ15" s="11"/>
      <c r="BE15" s="152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52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52"/>
      <c r="BS17" s="6" t="s">
        <v>36</v>
      </c>
    </row>
    <row r="18" spans="2:71" s="2" customFormat="1" ht="7.5" customHeight="1">
      <c r="B18" s="10"/>
      <c r="AQ18" s="11"/>
      <c r="BE18" s="152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52"/>
      <c r="BS19" s="6" t="s">
        <v>18</v>
      </c>
    </row>
    <row r="20" spans="2:57" s="2" customFormat="1" ht="19.5" customHeight="1">
      <c r="B20" s="10"/>
      <c r="E20" s="15" t="s">
        <v>38</v>
      </c>
      <c r="AK20" s="17" t="s">
        <v>31</v>
      </c>
      <c r="AN20" s="15"/>
      <c r="AQ20" s="11"/>
      <c r="BE20" s="152"/>
    </row>
    <row r="21" spans="2:57" s="2" customFormat="1" ht="7.5" customHeight="1">
      <c r="B21" s="10"/>
      <c r="AQ21" s="11"/>
      <c r="BE21" s="152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52"/>
    </row>
    <row r="23" spans="2:57" s="2" customFormat="1" ht="15" customHeight="1">
      <c r="B23" s="10"/>
      <c r="D23" s="21" t="s">
        <v>39</v>
      </c>
      <c r="AK23" s="160">
        <f>ROUNDUP($AG$87,2)</f>
        <v>0</v>
      </c>
      <c r="AL23" s="152"/>
      <c r="AM23" s="152"/>
      <c r="AN23" s="152"/>
      <c r="AO23" s="152"/>
      <c r="AQ23" s="11"/>
      <c r="BE23" s="152"/>
    </row>
    <row r="24" spans="2:57" s="2" customFormat="1" ht="15" customHeight="1">
      <c r="B24" s="10"/>
      <c r="D24" s="21" t="s">
        <v>40</v>
      </c>
      <c r="AK24" s="160">
        <f>ROUNDUP($AG$90,2)</f>
        <v>0</v>
      </c>
      <c r="AL24" s="152"/>
      <c r="AM24" s="152"/>
      <c r="AN24" s="152"/>
      <c r="AO24" s="152"/>
      <c r="AQ24" s="11"/>
      <c r="BE24" s="152"/>
    </row>
    <row r="25" spans="2:57" s="6" customFormat="1" ht="7.5" customHeight="1">
      <c r="B25" s="22"/>
      <c r="AQ25" s="23"/>
      <c r="BE25" s="155"/>
    </row>
    <row r="26" spans="2:57" s="6" customFormat="1" ht="27" customHeight="1">
      <c r="B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61">
        <f>ROUNDUP($AK$23+$AK$24,2)</f>
        <v>0</v>
      </c>
      <c r="AL26" s="162"/>
      <c r="AM26" s="162"/>
      <c r="AN26" s="162"/>
      <c r="AO26" s="162"/>
      <c r="AQ26" s="23"/>
      <c r="BE26" s="155"/>
    </row>
    <row r="27" spans="2:57" s="6" customFormat="1" ht="7.5" customHeight="1">
      <c r="B27" s="22"/>
      <c r="AQ27" s="23"/>
      <c r="BE27" s="155"/>
    </row>
    <row r="28" spans="2:57" s="6" customFormat="1" ht="15" customHeight="1">
      <c r="B28" s="26"/>
      <c r="D28" s="27" t="s">
        <v>42</v>
      </c>
      <c r="F28" s="27" t="s">
        <v>43</v>
      </c>
      <c r="L28" s="163">
        <v>0.21</v>
      </c>
      <c r="M28" s="156"/>
      <c r="N28" s="156"/>
      <c r="O28" s="156"/>
      <c r="T28" s="29" t="s">
        <v>44</v>
      </c>
      <c r="W28" s="164">
        <f>ROUNDUP($AZ$87+SUM($CD$91:$CD$95),2)</f>
        <v>0</v>
      </c>
      <c r="X28" s="156"/>
      <c r="Y28" s="156"/>
      <c r="Z28" s="156"/>
      <c r="AA28" s="156"/>
      <c r="AB28" s="156"/>
      <c r="AC28" s="156"/>
      <c r="AD28" s="156"/>
      <c r="AE28" s="156"/>
      <c r="AK28" s="164">
        <f>ROUNDUP($AV$87+SUM($BY$91:$BY$95),1)</f>
        <v>0</v>
      </c>
      <c r="AL28" s="156"/>
      <c r="AM28" s="156"/>
      <c r="AN28" s="156"/>
      <c r="AO28" s="156"/>
      <c r="AQ28" s="30"/>
      <c r="BE28" s="156"/>
    </row>
    <row r="29" spans="2:57" s="6" customFormat="1" ht="15" customHeight="1">
      <c r="B29" s="26"/>
      <c r="F29" s="27" t="s">
        <v>45</v>
      </c>
      <c r="L29" s="163">
        <v>0.15</v>
      </c>
      <c r="M29" s="156"/>
      <c r="N29" s="156"/>
      <c r="O29" s="156"/>
      <c r="T29" s="29" t="s">
        <v>44</v>
      </c>
      <c r="W29" s="164">
        <f>ROUNDUP($BA$87+SUM($CE$91:$CE$95),2)</f>
        <v>0</v>
      </c>
      <c r="X29" s="156"/>
      <c r="Y29" s="156"/>
      <c r="Z29" s="156"/>
      <c r="AA29" s="156"/>
      <c r="AB29" s="156"/>
      <c r="AC29" s="156"/>
      <c r="AD29" s="156"/>
      <c r="AE29" s="156"/>
      <c r="AK29" s="164">
        <f>ROUNDUP($AW$87+SUM($BZ$91:$BZ$95),1)</f>
        <v>0</v>
      </c>
      <c r="AL29" s="156"/>
      <c r="AM29" s="156"/>
      <c r="AN29" s="156"/>
      <c r="AO29" s="156"/>
      <c r="AQ29" s="30"/>
      <c r="BE29" s="156"/>
    </row>
    <row r="30" spans="2:57" s="6" customFormat="1" ht="15" customHeight="1" hidden="1">
      <c r="B30" s="26"/>
      <c r="F30" s="27" t="s">
        <v>46</v>
      </c>
      <c r="L30" s="163">
        <v>0.21</v>
      </c>
      <c r="M30" s="156"/>
      <c r="N30" s="156"/>
      <c r="O30" s="156"/>
      <c r="T30" s="29" t="s">
        <v>44</v>
      </c>
      <c r="W30" s="164">
        <f>ROUNDUP($BB$87+SUM($CF$91:$CF$95),2)</f>
        <v>0</v>
      </c>
      <c r="X30" s="156"/>
      <c r="Y30" s="156"/>
      <c r="Z30" s="156"/>
      <c r="AA30" s="156"/>
      <c r="AB30" s="156"/>
      <c r="AC30" s="156"/>
      <c r="AD30" s="156"/>
      <c r="AE30" s="156"/>
      <c r="AK30" s="164">
        <v>0</v>
      </c>
      <c r="AL30" s="156"/>
      <c r="AM30" s="156"/>
      <c r="AN30" s="156"/>
      <c r="AO30" s="156"/>
      <c r="AQ30" s="30"/>
      <c r="BE30" s="156"/>
    </row>
    <row r="31" spans="2:57" s="6" customFormat="1" ht="15" customHeight="1" hidden="1">
      <c r="B31" s="26"/>
      <c r="F31" s="27" t="s">
        <v>47</v>
      </c>
      <c r="L31" s="163">
        <v>0.15</v>
      </c>
      <c r="M31" s="156"/>
      <c r="N31" s="156"/>
      <c r="O31" s="156"/>
      <c r="T31" s="29" t="s">
        <v>44</v>
      </c>
      <c r="W31" s="164">
        <f>ROUNDUP($BC$87+SUM($CG$91:$CG$95),2)</f>
        <v>0</v>
      </c>
      <c r="X31" s="156"/>
      <c r="Y31" s="156"/>
      <c r="Z31" s="156"/>
      <c r="AA31" s="156"/>
      <c r="AB31" s="156"/>
      <c r="AC31" s="156"/>
      <c r="AD31" s="156"/>
      <c r="AE31" s="156"/>
      <c r="AK31" s="164">
        <v>0</v>
      </c>
      <c r="AL31" s="156"/>
      <c r="AM31" s="156"/>
      <c r="AN31" s="156"/>
      <c r="AO31" s="156"/>
      <c r="AQ31" s="30"/>
      <c r="BE31" s="156"/>
    </row>
    <row r="32" spans="2:57" s="6" customFormat="1" ht="15" customHeight="1" hidden="1">
      <c r="B32" s="26"/>
      <c r="F32" s="27" t="s">
        <v>48</v>
      </c>
      <c r="L32" s="163">
        <v>0</v>
      </c>
      <c r="M32" s="156"/>
      <c r="N32" s="156"/>
      <c r="O32" s="156"/>
      <c r="T32" s="29" t="s">
        <v>44</v>
      </c>
      <c r="W32" s="164">
        <f>ROUNDUP($BD$87+SUM($CH$91:$CH$95),2)</f>
        <v>0</v>
      </c>
      <c r="X32" s="156"/>
      <c r="Y32" s="156"/>
      <c r="Z32" s="156"/>
      <c r="AA32" s="156"/>
      <c r="AB32" s="156"/>
      <c r="AC32" s="156"/>
      <c r="AD32" s="156"/>
      <c r="AE32" s="156"/>
      <c r="AK32" s="164">
        <v>0</v>
      </c>
      <c r="AL32" s="156"/>
      <c r="AM32" s="156"/>
      <c r="AN32" s="156"/>
      <c r="AO32" s="156"/>
      <c r="AQ32" s="30"/>
      <c r="BE32" s="156"/>
    </row>
    <row r="33" spans="2:57" s="6" customFormat="1" ht="7.5" customHeight="1">
      <c r="B33" s="22"/>
      <c r="AQ33" s="23"/>
      <c r="BE33" s="155"/>
    </row>
    <row r="34" spans="2:57" s="6" customFormat="1" ht="27" customHeight="1">
      <c r="B34" s="22"/>
      <c r="C34" s="31"/>
      <c r="D34" s="32" t="s">
        <v>49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50</v>
      </c>
      <c r="U34" s="33"/>
      <c r="V34" s="33"/>
      <c r="W34" s="33"/>
      <c r="X34" s="165" t="s">
        <v>51</v>
      </c>
      <c r="Y34" s="166"/>
      <c r="Z34" s="166"/>
      <c r="AA34" s="166"/>
      <c r="AB34" s="166"/>
      <c r="AC34" s="33"/>
      <c r="AD34" s="33"/>
      <c r="AE34" s="33"/>
      <c r="AF34" s="33"/>
      <c r="AG34" s="33"/>
      <c r="AH34" s="33"/>
      <c r="AI34" s="33"/>
      <c r="AJ34" s="33"/>
      <c r="AK34" s="167">
        <f>ROUNDUP(SUM($AK$26:$AK$32),2)</f>
        <v>0</v>
      </c>
      <c r="AL34" s="166"/>
      <c r="AM34" s="166"/>
      <c r="AN34" s="166"/>
      <c r="AO34" s="168"/>
      <c r="AP34" s="31"/>
      <c r="AQ34" s="23"/>
      <c r="BE34" s="155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3" t="s">
        <v>58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3"/>
    </row>
    <row r="77" spans="2:43" s="15" customFormat="1" ht="15" customHeight="1">
      <c r="B77" s="50"/>
      <c r="C77" s="17" t="s">
        <v>13</v>
      </c>
      <c r="L77" s="15" t="str">
        <f>$K$5</f>
        <v>1362</v>
      </c>
      <c r="AQ77" s="51"/>
    </row>
    <row r="78" spans="2:43" s="52" customFormat="1" ht="37.5" customHeight="1">
      <c r="B78" s="53"/>
      <c r="C78" s="52" t="s">
        <v>16</v>
      </c>
      <c r="L78" s="169" t="str">
        <f>$K$6</f>
        <v>Oprava balkónů bytového domu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</v>
      </c>
      <c r="AI80" s="17" t="s">
        <v>24</v>
      </c>
      <c r="AM80" s="56" t="str">
        <f>IF($AN$8="","",$AN$8)</f>
        <v>28.11.2013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nám. čp. 78, 280 02 Kolín 1</v>
      </c>
      <c r="AI82" s="17" t="s">
        <v>34</v>
      </c>
      <c r="AM82" s="157" t="str">
        <f>IF($E$17="","",$E$17)</f>
        <v>Ing. Karel Vrátný, Rubešova 60, 280 02 Kolín 1</v>
      </c>
      <c r="AN82" s="155"/>
      <c r="AO82" s="155"/>
      <c r="AP82" s="155"/>
      <c r="AQ82" s="23"/>
      <c r="AS82" s="170" t="s">
        <v>59</v>
      </c>
      <c r="AT82" s="171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57" t="str">
        <f>IF($E$20="","",$E$20)</f>
        <v>Alena Vrátná</v>
      </c>
      <c r="AN83" s="155"/>
      <c r="AO83" s="155"/>
      <c r="AP83" s="155"/>
      <c r="AQ83" s="23"/>
      <c r="AS83" s="172"/>
      <c r="AT83" s="155"/>
      <c r="BD83" s="58"/>
    </row>
    <row r="84" spans="2:56" s="6" customFormat="1" ht="12" customHeight="1">
      <c r="B84" s="22"/>
      <c r="AQ84" s="23"/>
      <c r="AS84" s="172"/>
      <c r="AT84" s="155"/>
      <c r="BD84" s="58"/>
    </row>
    <row r="85" spans="2:57" s="6" customFormat="1" ht="30" customHeight="1">
      <c r="B85" s="22"/>
      <c r="C85" s="173" t="s">
        <v>60</v>
      </c>
      <c r="D85" s="166"/>
      <c r="E85" s="166"/>
      <c r="F85" s="166"/>
      <c r="G85" s="166"/>
      <c r="H85" s="33"/>
      <c r="I85" s="174" t="s">
        <v>61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74" t="s">
        <v>62</v>
      </c>
      <c r="AH85" s="166"/>
      <c r="AI85" s="166"/>
      <c r="AJ85" s="166"/>
      <c r="AK85" s="166"/>
      <c r="AL85" s="166"/>
      <c r="AM85" s="166"/>
      <c r="AN85" s="174" t="s">
        <v>63</v>
      </c>
      <c r="AO85" s="166"/>
      <c r="AP85" s="168"/>
      <c r="AQ85" s="23"/>
      <c r="AS85" s="59" t="s">
        <v>64</v>
      </c>
      <c r="AT85" s="60" t="s">
        <v>65</v>
      </c>
      <c r="AU85" s="60" t="s">
        <v>66</v>
      </c>
      <c r="AV85" s="60" t="s">
        <v>67</v>
      </c>
      <c r="AW85" s="60" t="s">
        <v>68</v>
      </c>
      <c r="AX85" s="60" t="s">
        <v>69</v>
      </c>
      <c r="AY85" s="60" t="s">
        <v>70</v>
      </c>
      <c r="AZ85" s="60" t="s">
        <v>71</v>
      </c>
      <c r="BA85" s="60" t="s">
        <v>72</v>
      </c>
      <c r="BB85" s="60" t="s">
        <v>73</v>
      </c>
      <c r="BC85" s="60" t="s">
        <v>74</v>
      </c>
      <c r="BD85" s="61" t="s">
        <v>75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82">
        <f>ROUNDUP($AG$88,2)</f>
        <v>0</v>
      </c>
      <c r="AH87" s="183"/>
      <c r="AI87" s="183"/>
      <c r="AJ87" s="183"/>
      <c r="AK87" s="183"/>
      <c r="AL87" s="183"/>
      <c r="AM87" s="183"/>
      <c r="AN87" s="182">
        <f>ROUNDUP(SUM($AG$87,$AT$87),2)</f>
        <v>0</v>
      </c>
      <c r="AO87" s="183"/>
      <c r="AP87" s="183"/>
      <c r="AQ87" s="54"/>
      <c r="AS87" s="65">
        <f>ROUNDUP($AS$88,2)</f>
        <v>0</v>
      </c>
      <c r="AT87" s="66">
        <f>ROUNDUP(SUM($AV$87:$AW$87),1)</f>
        <v>0</v>
      </c>
      <c r="AU87" s="67">
        <f>ROUNDUP($AU$88,5)</f>
        <v>868.25062</v>
      </c>
      <c r="AV87" s="66">
        <f>ROUNDUP($AZ$87*$L$28,2)</f>
        <v>0</v>
      </c>
      <c r="AW87" s="66">
        <f>ROUNDUP($BA$87*$L$29,2)</f>
        <v>0</v>
      </c>
      <c r="AX87" s="66">
        <f>ROUNDUP($BB$87*$L$28,2)</f>
        <v>0</v>
      </c>
      <c r="AY87" s="66">
        <f>ROUNDUP($BC$87*$L$29,2)</f>
        <v>0</v>
      </c>
      <c r="AZ87" s="66">
        <f>ROUNDUP($AZ$88,2)</f>
        <v>0</v>
      </c>
      <c r="BA87" s="66">
        <f>ROUNDUP($BA$88,2)</f>
        <v>0</v>
      </c>
      <c r="BB87" s="66">
        <f>ROUNDUP($BB$88,2)</f>
        <v>0</v>
      </c>
      <c r="BC87" s="66">
        <f>ROUNDUP($BC$88,2)</f>
        <v>0</v>
      </c>
      <c r="BD87" s="68">
        <f>ROUNDUP($BD$88,2)</f>
        <v>0</v>
      </c>
      <c r="BS87" s="52" t="s">
        <v>77</v>
      </c>
      <c r="BT87" s="52" t="s">
        <v>78</v>
      </c>
      <c r="BV87" s="52" t="s">
        <v>79</v>
      </c>
      <c r="BW87" s="52" t="s">
        <v>80</v>
      </c>
      <c r="BX87" s="52" t="s">
        <v>81</v>
      </c>
    </row>
    <row r="88" spans="1:76" s="69" customFormat="1" ht="28.5" customHeight="1">
      <c r="A88" s="216" t="s">
        <v>329</v>
      </c>
      <c r="B88" s="70"/>
      <c r="C88" s="71"/>
      <c r="D88" s="177" t="s">
        <v>14</v>
      </c>
      <c r="E88" s="178"/>
      <c r="F88" s="178"/>
      <c r="G88" s="178"/>
      <c r="H88" s="178"/>
      <c r="I88" s="71"/>
      <c r="J88" s="177" t="s">
        <v>17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'1362 - Oprava balkónů byt...'!$M$26</f>
        <v>0</v>
      </c>
      <c r="AH88" s="176"/>
      <c r="AI88" s="176"/>
      <c r="AJ88" s="176"/>
      <c r="AK88" s="176"/>
      <c r="AL88" s="176"/>
      <c r="AM88" s="176"/>
      <c r="AN88" s="175">
        <f>ROUNDUP(SUM($AG$88,$AT$88),2)</f>
        <v>0</v>
      </c>
      <c r="AO88" s="176"/>
      <c r="AP88" s="176"/>
      <c r="AQ88" s="72"/>
      <c r="AS88" s="73">
        <f>'1362 - Oprava balkónů byt...'!$M$24</f>
        <v>0</v>
      </c>
      <c r="AT88" s="74">
        <f>ROUNDUP(SUM($AV$88:$AW$88),1)</f>
        <v>0</v>
      </c>
      <c r="AU88" s="75">
        <f>'1362 - Oprava balkónů byt...'!$W$126</f>
        <v>868.2506120000002</v>
      </c>
      <c r="AV88" s="74">
        <f>'1362 - Oprava balkónů byt...'!$M$28</f>
        <v>0</v>
      </c>
      <c r="AW88" s="74">
        <f>'1362 - Oprava balkónů byt...'!$M$29</f>
        <v>0</v>
      </c>
      <c r="AX88" s="74">
        <f>'1362 - Oprava balkónů byt...'!$M$30</f>
        <v>0</v>
      </c>
      <c r="AY88" s="74">
        <f>'1362 - Oprava balkónů byt...'!$M$31</f>
        <v>0</v>
      </c>
      <c r="AZ88" s="74">
        <f>'1362 - Oprava balkónů byt...'!$H$28</f>
        <v>0</v>
      </c>
      <c r="BA88" s="74">
        <f>'1362 - Oprava balkónů byt...'!$H$29</f>
        <v>0</v>
      </c>
      <c r="BB88" s="74">
        <f>'1362 - Oprava balkónů byt...'!$H$30</f>
        <v>0</v>
      </c>
      <c r="BC88" s="74">
        <f>'1362 - Oprava balkónů byt...'!$H$31</f>
        <v>0</v>
      </c>
      <c r="BD88" s="76">
        <f>'1362 - Oprava balkónů byt...'!$H$32</f>
        <v>0</v>
      </c>
      <c r="BT88" s="69" t="s">
        <v>21</v>
      </c>
      <c r="BU88" s="69" t="s">
        <v>82</v>
      </c>
      <c r="BV88" s="69" t="s">
        <v>79</v>
      </c>
      <c r="BW88" s="69" t="s">
        <v>80</v>
      </c>
      <c r="BX88" s="69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83</v>
      </c>
      <c r="AG90" s="182">
        <f>ROUNDUP(SUM($AG$91:$AG$94),2)</f>
        <v>0</v>
      </c>
      <c r="AH90" s="155"/>
      <c r="AI90" s="155"/>
      <c r="AJ90" s="155"/>
      <c r="AK90" s="155"/>
      <c r="AL90" s="155"/>
      <c r="AM90" s="155"/>
      <c r="AN90" s="182">
        <f>ROUNDUP(SUM($AN$91:$AN$94),2)</f>
        <v>0</v>
      </c>
      <c r="AO90" s="155"/>
      <c r="AP90" s="155"/>
      <c r="AQ90" s="23"/>
      <c r="AS90" s="59" t="s">
        <v>84</v>
      </c>
      <c r="AT90" s="60" t="s">
        <v>85</v>
      </c>
      <c r="AU90" s="60" t="s">
        <v>42</v>
      </c>
      <c r="AV90" s="61" t="s">
        <v>65</v>
      </c>
      <c r="AW90" s="62"/>
    </row>
    <row r="91" spans="2:89" s="6" customFormat="1" ht="21" customHeight="1">
      <c r="B91" s="22"/>
      <c r="D91" s="77" t="s">
        <v>86</v>
      </c>
      <c r="AG91" s="179">
        <f>ROUNDUP($AG$87*$AS$91,2)</f>
        <v>0</v>
      </c>
      <c r="AH91" s="155"/>
      <c r="AI91" s="155"/>
      <c r="AJ91" s="155"/>
      <c r="AK91" s="155"/>
      <c r="AL91" s="155"/>
      <c r="AM91" s="155"/>
      <c r="AN91" s="180">
        <f>ROUNDUP($AG$91+$AV$91,2)</f>
        <v>0</v>
      </c>
      <c r="AO91" s="155"/>
      <c r="AP91" s="155"/>
      <c r="AQ91" s="23"/>
      <c r="AS91" s="78">
        <v>0</v>
      </c>
      <c r="AT91" s="79" t="s">
        <v>87</v>
      </c>
      <c r="AU91" s="79" t="s">
        <v>43</v>
      </c>
      <c r="AV91" s="80">
        <f>ROUNDUP(IF($AU$91="základní",$AG$91*$L$28,IF($AU$91="snížená",$AG$91*$L$29,0)),2)</f>
        <v>0</v>
      </c>
      <c r="BV91" s="6" t="s">
        <v>88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81" t="s">
        <v>89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G92" s="179">
        <f>$AG$87*$AS$92</f>
        <v>0</v>
      </c>
      <c r="AH92" s="155"/>
      <c r="AI92" s="155"/>
      <c r="AJ92" s="155"/>
      <c r="AK92" s="155"/>
      <c r="AL92" s="155"/>
      <c r="AM92" s="155"/>
      <c r="AN92" s="180">
        <f>$AG$92+$AV$92</f>
        <v>0</v>
      </c>
      <c r="AO92" s="155"/>
      <c r="AP92" s="155"/>
      <c r="AQ92" s="23"/>
      <c r="AS92" s="82">
        <v>0</v>
      </c>
      <c r="AT92" s="83" t="s">
        <v>87</v>
      </c>
      <c r="AU92" s="83" t="s">
        <v>43</v>
      </c>
      <c r="AV92" s="84">
        <f>ROUNDUP(IF($AU$92="nulová",0,IF(OR($AU$92="základní",$AU$92="zákl. přenesená"),$AG$92*$L$28,$AG$92*$L$29)),1)</f>
        <v>0</v>
      </c>
      <c r="BV92" s="6" t="s">
        <v>90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81" t="s">
        <v>89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G93" s="179">
        <f>$AG$87*$AS$93</f>
        <v>0</v>
      </c>
      <c r="AH93" s="155"/>
      <c r="AI93" s="155"/>
      <c r="AJ93" s="155"/>
      <c r="AK93" s="155"/>
      <c r="AL93" s="155"/>
      <c r="AM93" s="155"/>
      <c r="AN93" s="180">
        <f>$AG$93+$AV$93</f>
        <v>0</v>
      </c>
      <c r="AO93" s="155"/>
      <c r="AP93" s="155"/>
      <c r="AQ93" s="23"/>
      <c r="AS93" s="82">
        <v>0</v>
      </c>
      <c r="AT93" s="83" t="s">
        <v>87</v>
      </c>
      <c r="AU93" s="83" t="s">
        <v>43</v>
      </c>
      <c r="AV93" s="84">
        <f>ROUNDUP(IF($AU$93="nulová",0,IF(OR($AU$93="základní",$AU$93="zákl. přenesená"),$AG$93*$L$28,$AG$93*$L$29)),1)</f>
        <v>0</v>
      </c>
      <c r="BV93" s="6" t="s">
        <v>90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81" t="s">
        <v>89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G94" s="179">
        <f>$AG$87*$AS$94</f>
        <v>0</v>
      </c>
      <c r="AH94" s="155"/>
      <c r="AI94" s="155"/>
      <c r="AJ94" s="155"/>
      <c r="AK94" s="155"/>
      <c r="AL94" s="155"/>
      <c r="AM94" s="155"/>
      <c r="AN94" s="180">
        <f>$AG$94+$AV$94</f>
        <v>0</v>
      </c>
      <c r="AO94" s="155"/>
      <c r="AP94" s="155"/>
      <c r="AQ94" s="23"/>
      <c r="AS94" s="85">
        <v>0</v>
      </c>
      <c r="AT94" s="86" t="s">
        <v>87</v>
      </c>
      <c r="AU94" s="86" t="s">
        <v>43</v>
      </c>
      <c r="AV94" s="87">
        <f>ROUNDUP(IF($AU$94="nulová",0,IF(OR($AU$94="základní",$AU$94="zákl. přenesená"),$AG$94*$L$28,$AG$94*$L$29)),1)</f>
        <v>0</v>
      </c>
      <c r="BV94" s="6" t="s">
        <v>90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84">
        <f>ROUNDUP($AG$87+$AG$90,2)</f>
        <v>0</v>
      </c>
      <c r="AH96" s="185"/>
      <c r="AI96" s="185"/>
      <c r="AJ96" s="185"/>
      <c r="AK96" s="185"/>
      <c r="AL96" s="185"/>
      <c r="AM96" s="185"/>
      <c r="AN96" s="184">
        <f>ROUNDUP($AN$87+$AN$90,2)</f>
        <v>0</v>
      </c>
      <c r="AO96" s="185"/>
      <c r="AP96" s="185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62 - Oprava balkónů byt...'!C2" tooltip="1362 - Oprava balkónů by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1"/>
      <c r="B1" s="218"/>
      <c r="C1" s="218"/>
      <c r="D1" s="219" t="s">
        <v>1</v>
      </c>
      <c r="E1" s="218"/>
      <c r="F1" s="220" t="s">
        <v>330</v>
      </c>
      <c r="G1" s="220"/>
      <c r="H1" s="222" t="s">
        <v>331</v>
      </c>
      <c r="I1" s="222"/>
      <c r="J1" s="222"/>
      <c r="K1" s="222"/>
      <c r="L1" s="220" t="s">
        <v>332</v>
      </c>
      <c r="M1" s="218"/>
      <c r="N1" s="218"/>
      <c r="O1" s="219" t="s">
        <v>92</v>
      </c>
      <c r="P1" s="218"/>
      <c r="Q1" s="218"/>
      <c r="R1" s="218"/>
      <c r="S1" s="220" t="s">
        <v>333</v>
      </c>
      <c r="T1" s="220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86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93</v>
      </c>
    </row>
    <row r="4" spans="2:46" s="2" customFormat="1" ht="37.5" customHeight="1">
      <c r="B4" s="10"/>
      <c r="C4" s="153" t="s">
        <v>94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2"/>
      <c r="D6" s="16" t="s">
        <v>16</v>
      </c>
      <c r="F6" s="158" t="s">
        <v>17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187" t="str">
        <f>'Rekapitulace stavby'!$AN$8</f>
        <v>28.11.2013</v>
      </c>
      <c r="P8" s="155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57"/>
      <c r="P10" s="155"/>
      <c r="R10" s="23"/>
    </row>
    <row r="11" spans="2:18" s="6" customFormat="1" ht="18.75" customHeight="1">
      <c r="B11" s="22"/>
      <c r="E11" s="15" t="s">
        <v>30</v>
      </c>
      <c r="M11" s="17" t="s">
        <v>31</v>
      </c>
      <c r="O11" s="157"/>
      <c r="P11" s="155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188"/>
      <c r="P13" s="155"/>
      <c r="R13" s="23"/>
    </row>
    <row r="14" spans="2:18" s="6" customFormat="1" ht="18.75" customHeight="1">
      <c r="B14" s="22"/>
      <c r="E14" s="188" t="s">
        <v>95</v>
      </c>
      <c r="F14" s="155"/>
      <c r="G14" s="155"/>
      <c r="H14" s="155"/>
      <c r="I14" s="155"/>
      <c r="J14" s="155"/>
      <c r="K14" s="155"/>
      <c r="L14" s="155"/>
      <c r="M14" s="17" t="s">
        <v>31</v>
      </c>
      <c r="O14" s="188"/>
      <c r="P14" s="155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57"/>
      <c r="P16" s="155"/>
      <c r="R16" s="23"/>
    </row>
    <row r="17" spans="2:18" s="6" customFormat="1" ht="18.75" customHeight="1">
      <c r="B17" s="22"/>
      <c r="E17" s="15" t="s">
        <v>35</v>
      </c>
      <c r="M17" s="17" t="s">
        <v>31</v>
      </c>
      <c r="O17" s="157"/>
      <c r="P17" s="155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37</v>
      </c>
      <c r="M19" s="17" t="s">
        <v>29</v>
      </c>
      <c r="O19" s="157"/>
      <c r="P19" s="155"/>
      <c r="R19" s="23"/>
    </row>
    <row r="20" spans="2:18" s="6" customFormat="1" ht="18.75" customHeight="1">
      <c r="B20" s="22"/>
      <c r="E20" s="15" t="s">
        <v>38</v>
      </c>
      <c r="M20" s="17" t="s">
        <v>31</v>
      </c>
      <c r="O20" s="157"/>
      <c r="P20" s="155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96</v>
      </c>
      <c r="M23" s="160">
        <f>$N$87</f>
        <v>0</v>
      </c>
      <c r="N23" s="155"/>
      <c r="O23" s="155"/>
      <c r="P23" s="155"/>
      <c r="R23" s="23"/>
    </row>
    <row r="24" spans="2:18" s="6" customFormat="1" ht="15" customHeight="1">
      <c r="B24" s="22"/>
      <c r="D24" s="21" t="s">
        <v>86</v>
      </c>
      <c r="M24" s="160">
        <f>$N$102</f>
        <v>0</v>
      </c>
      <c r="N24" s="155"/>
      <c r="O24" s="155"/>
      <c r="P24" s="155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41</v>
      </c>
      <c r="M26" s="189">
        <f>ROUNDUP($M$23+$M$24,2)</f>
        <v>0</v>
      </c>
      <c r="N26" s="155"/>
      <c r="O26" s="155"/>
      <c r="P26" s="155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42</v>
      </c>
      <c r="E28" s="27" t="s">
        <v>43</v>
      </c>
      <c r="F28" s="28">
        <v>0.21</v>
      </c>
      <c r="G28" s="91" t="s">
        <v>44</v>
      </c>
      <c r="H28" s="190">
        <f>ROUNDUP((((SUM($BE$102:$BE$109)+SUM($BE$126:$BE$218))+SUM($BE$220:$BE$224))),2)</f>
        <v>0</v>
      </c>
      <c r="I28" s="155"/>
      <c r="J28" s="155"/>
      <c r="M28" s="190">
        <f>ROUNDUP((((SUM($BE$102:$BE$109)+SUM($BE$126:$BE$218))*$F$28)+SUM($BE$220:$BE$224)*$F$28),1)</f>
        <v>0</v>
      </c>
      <c r="N28" s="155"/>
      <c r="O28" s="155"/>
      <c r="P28" s="155"/>
      <c r="R28" s="23"/>
    </row>
    <row r="29" spans="2:18" s="6" customFormat="1" ht="15" customHeight="1">
      <c r="B29" s="22"/>
      <c r="E29" s="27" t="s">
        <v>45</v>
      </c>
      <c r="F29" s="28">
        <v>0.15</v>
      </c>
      <c r="G29" s="91" t="s">
        <v>44</v>
      </c>
      <c r="H29" s="190">
        <f>ROUNDUP((((SUM($BF$102:$BF$109)+SUM($BF$126:$BF$218))+SUM($BF$220:$BF$224))),2)</f>
        <v>0</v>
      </c>
      <c r="I29" s="155"/>
      <c r="J29" s="155"/>
      <c r="M29" s="190">
        <f>ROUNDUP((((SUM($BF$102:$BF$109)+SUM($BF$126:$BF$218))*$F$29)+SUM($BF$220:$BF$224)*$F$29),1)</f>
        <v>0</v>
      </c>
      <c r="N29" s="155"/>
      <c r="O29" s="155"/>
      <c r="P29" s="155"/>
      <c r="R29" s="23"/>
    </row>
    <row r="30" spans="2:18" s="6" customFormat="1" ht="15" customHeight="1" hidden="1">
      <c r="B30" s="22"/>
      <c r="E30" s="27" t="s">
        <v>46</v>
      </c>
      <c r="F30" s="28">
        <v>0.21</v>
      </c>
      <c r="G30" s="91" t="s">
        <v>44</v>
      </c>
      <c r="H30" s="190">
        <f>ROUNDUP((((SUM($BG$102:$BG$109)+SUM($BG$126:$BG$218))+SUM($BG$220:$BG$224))),2)</f>
        <v>0</v>
      </c>
      <c r="I30" s="155"/>
      <c r="J30" s="155"/>
      <c r="M30" s="190">
        <v>0</v>
      </c>
      <c r="N30" s="155"/>
      <c r="O30" s="155"/>
      <c r="P30" s="155"/>
      <c r="R30" s="23"/>
    </row>
    <row r="31" spans="2:18" s="6" customFormat="1" ht="15" customHeight="1" hidden="1">
      <c r="B31" s="22"/>
      <c r="E31" s="27" t="s">
        <v>47</v>
      </c>
      <c r="F31" s="28">
        <v>0.15</v>
      </c>
      <c r="G31" s="91" t="s">
        <v>44</v>
      </c>
      <c r="H31" s="190">
        <f>ROUNDUP((((SUM($BH$102:$BH$109)+SUM($BH$126:$BH$218))+SUM($BH$220:$BH$224))),2)</f>
        <v>0</v>
      </c>
      <c r="I31" s="155"/>
      <c r="J31" s="155"/>
      <c r="M31" s="190">
        <v>0</v>
      </c>
      <c r="N31" s="155"/>
      <c r="O31" s="155"/>
      <c r="P31" s="155"/>
      <c r="R31" s="23"/>
    </row>
    <row r="32" spans="2:18" s="6" customFormat="1" ht="15" customHeight="1" hidden="1">
      <c r="B32" s="22"/>
      <c r="E32" s="27" t="s">
        <v>48</v>
      </c>
      <c r="F32" s="28">
        <v>0</v>
      </c>
      <c r="G32" s="91" t="s">
        <v>44</v>
      </c>
      <c r="H32" s="190">
        <f>ROUNDUP((((SUM($BI$102:$BI$109)+SUM($BI$126:$BI$218))+SUM($BI$220:$BI$224))),2)</f>
        <v>0</v>
      </c>
      <c r="I32" s="155"/>
      <c r="J32" s="155"/>
      <c r="M32" s="190">
        <v>0</v>
      </c>
      <c r="N32" s="155"/>
      <c r="O32" s="155"/>
      <c r="P32" s="155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49</v>
      </c>
      <c r="E34" s="33"/>
      <c r="F34" s="33"/>
      <c r="G34" s="92" t="s">
        <v>50</v>
      </c>
      <c r="H34" s="34" t="s">
        <v>51</v>
      </c>
      <c r="I34" s="33"/>
      <c r="J34" s="33"/>
      <c r="K34" s="33"/>
      <c r="L34" s="167">
        <f>ROUNDUP(SUM($M$26:$M$32),2)</f>
        <v>0</v>
      </c>
      <c r="M34" s="166"/>
      <c r="N34" s="166"/>
      <c r="O34" s="166"/>
      <c r="P34" s="168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3" t="s">
        <v>97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69" t="str">
        <f>$F$6</f>
        <v>Oprava balkónů bytového domu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Kolín</v>
      </c>
      <c r="K80" s="17" t="s">
        <v>24</v>
      </c>
      <c r="M80" s="191" t="str">
        <f>IF($O$8="","",$O$8)</f>
        <v>28.11.2013</v>
      </c>
      <c r="N80" s="155"/>
      <c r="O80" s="155"/>
      <c r="P80" s="155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Město Kolín, Karlovo nám. čp. 78, 280 02 Kolín 1</v>
      </c>
      <c r="K82" s="17" t="s">
        <v>34</v>
      </c>
      <c r="M82" s="157" t="str">
        <f>$E$17</f>
        <v>Ing. Karel Vrátný, Rubešova 60, 280 02 Kolín 1</v>
      </c>
      <c r="N82" s="155"/>
      <c r="O82" s="155"/>
      <c r="P82" s="155"/>
      <c r="Q82" s="155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dle výběru investora</v>
      </c>
      <c r="K83" s="17" t="s">
        <v>37</v>
      </c>
      <c r="M83" s="157" t="str">
        <f>$E$20</f>
        <v>Alena Vrátná</v>
      </c>
      <c r="N83" s="155"/>
      <c r="O83" s="155"/>
      <c r="P83" s="155"/>
      <c r="Q83" s="155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92" t="s">
        <v>98</v>
      </c>
      <c r="D85" s="185"/>
      <c r="E85" s="185"/>
      <c r="F85" s="185"/>
      <c r="G85" s="185"/>
      <c r="H85" s="31"/>
      <c r="I85" s="31"/>
      <c r="J85" s="31"/>
      <c r="K85" s="31"/>
      <c r="L85" s="31"/>
      <c r="M85" s="31"/>
      <c r="N85" s="192" t="s">
        <v>99</v>
      </c>
      <c r="O85" s="155"/>
      <c r="P85" s="155"/>
      <c r="Q85" s="155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100</v>
      </c>
      <c r="N87" s="182">
        <f>ROUNDUP($N$126,2)</f>
        <v>0</v>
      </c>
      <c r="O87" s="155"/>
      <c r="P87" s="155"/>
      <c r="Q87" s="155"/>
      <c r="R87" s="23"/>
      <c r="AU87" s="6" t="s">
        <v>101</v>
      </c>
    </row>
    <row r="88" spans="2:18" s="93" customFormat="1" ht="25.5" customHeight="1">
      <c r="B88" s="94"/>
      <c r="D88" s="95" t="s">
        <v>102</v>
      </c>
      <c r="N88" s="193">
        <f>ROUNDUP($N$127,2)</f>
        <v>0</v>
      </c>
      <c r="O88" s="194"/>
      <c r="P88" s="194"/>
      <c r="Q88" s="194"/>
      <c r="R88" s="96"/>
    </row>
    <row r="89" spans="2:18" s="89" customFormat="1" ht="21" customHeight="1">
      <c r="B89" s="97"/>
      <c r="D89" s="77" t="s">
        <v>103</v>
      </c>
      <c r="N89" s="180">
        <f>ROUNDUP($N$128,2)</f>
        <v>0</v>
      </c>
      <c r="O89" s="194"/>
      <c r="P89" s="194"/>
      <c r="Q89" s="194"/>
      <c r="R89" s="98"/>
    </row>
    <row r="90" spans="2:18" s="89" customFormat="1" ht="21" customHeight="1">
      <c r="B90" s="97"/>
      <c r="D90" s="77" t="s">
        <v>104</v>
      </c>
      <c r="N90" s="180">
        <f>ROUNDUP($N$139,2)</f>
        <v>0</v>
      </c>
      <c r="O90" s="194"/>
      <c r="P90" s="194"/>
      <c r="Q90" s="194"/>
      <c r="R90" s="98"/>
    </row>
    <row r="91" spans="2:18" s="89" customFormat="1" ht="21" customHeight="1">
      <c r="B91" s="97"/>
      <c r="D91" s="77" t="s">
        <v>105</v>
      </c>
      <c r="N91" s="180">
        <f>ROUNDUP($N$150,2)</f>
        <v>0</v>
      </c>
      <c r="O91" s="194"/>
      <c r="P91" s="194"/>
      <c r="Q91" s="194"/>
      <c r="R91" s="98"/>
    </row>
    <row r="92" spans="2:18" s="89" customFormat="1" ht="21" customHeight="1">
      <c r="B92" s="97"/>
      <c r="D92" s="77" t="s">
        <v>106</v>
      </c>
      <c r="N92" s="180">
        <f>ROUNDUP($N$156,2)</f>
        <v>0</v>
      </c>
      <c r="O92" s="194"/>
      <c r="P92" s="194"/>
      <c r="Q92" s="194"/>
      <c r="R92" s="98"/>
    </row>
    <row r="93" spans="2:18" s="89" customFormat="1" ht="15.75" customHeight="1">
      <c r="B93" s="97"/>
      <c r="D93" s="77" t="s">
        <v>107</v>
      </c>
      <c r="N93" s="180">
        <f>ROUNDUP($N$169,2)</f>
        <v>0</v>
      </c>
      <c r="O93" s="194"/>
      <c r="P93" s="194"/>
      <c r="Q93" s="194"/>
      <c r="R93" s="98"/>
    </row>
    <row r="94" spans="2:18" s="93" customFormat="1" ht="25.5" customHeight="1">
      <c r="B94" s="94"/>
      <c r="D94" s="95" t="s">
        <v>108</v>
      </c>
      <c r="N94" s="193">
        <f>ROUNDUP($N$175,2)</f>
        <v>0</v>
      </c>
      <c r="O94" s="194"/>
      <c r="P94" s="194"/>
      <c r="Q94" s="194"/>
      <c r="R94" s="96"/>
    </row>
    <row r="95" spans="2:18" s="89" customFormat="1" ht="21" customHeight="1">
      <c r="B95" s="97"/>
      <c r="D95" s="77" t="s">
        <v>109</v>
      </c>
      <c r="N95" s="180">
        <f>ROUNDUP($N$176,2)</f>
        <v>0</v>
      </c>
      <c r="O95" s="194"/>
      <c r="P95" s="194"/>
      <c r="Q95" s="194"/>
      <c r="R95" s="98"/>
    </row>
    <row r="96" spans="2:18" s="89" customFormat="1" ht="21" customHeight="1">
      <c r="B96" s="97"/>
      <c r="D96" s="77" t="s">
        <v>110</v>
      </c>
      <c r="N96" s="180">
        <f>ROUNDUP($N$185,2)</f>
        <v>0</v>
      </c>
      <c r="O96" s="194"/>
      <c r="P96" s="194"/>
      <c r="Q96" s="194"/>
      <c r="R96" s="98"/>
    </row>
    <row r="97" spans="2:18" s="89" customFormat="1" ht="21" customHeight="1">
      <c r="B97" s="97"/>
      <c r="D97" s="77" t="s">
        <v>111</v>
      </c>
      <c r="N97" s="180">
        <f>ROUNDUP($N$190,2)</f>
        <v>0</v>
      </c>
      <c r="O97" s="194"/>
      <c r="P97" s="194"/>
      <c r="Q97" s="194"/>
      <c r="R97" s="98"/>
    </row>
    <row r="98" spans="2:18" s="89" customFormat="1" ht="21" customHeight="1">
      <c r="B98" s="97"/>
      <c r="D98" s="77" t="s">
        <v>112</v>
      </c>
      <c r="N98" s="180">
        <f>ROUNDUP($N$206,2)</f>
        <v>0</v>
      </c>
      <c r="O98" s="194"/>
      <c r="P98" s="194"/>
      <c r="Q98" s="194"/>
      <c r="R98" s="98"/>
    </row>
    <row r="99" spans="2:18" s="89" customFormat="1" ht="21" customHeight="1">
      <c r="B99" s="97"/>
      <c r="D99" s="77" t="s">
        <v>113</v>
      </c>
      <c r="N99" s="180">
        <f>ROUNDUP($N$217,2)</f>
        <v>0</v>
      </c>
      <c r="O99" s="194"/>
      <c r="P99" s="194"/>
      <c r="Q99" s="194"/>
      <c r="R99" s="98"/>
    </row>
    <row r="100" spans="2:18" s="93" customFormat="1" ht="22.5" customHeight="1">
      <c r="B100" s="94"/>
      <c r="D100" s="95" t="s">
        <v>114</v>
      </c>
      <c r="N100" s="195">
        <f>$N$219</f>
        <v>0</v>
      </c>
      <c r="O100" s="194"/>
      <c r="P100" s="194"/>
      <c r="Q100" s="194"/>
      <c r="R100" s="96"/>
    </row>
    <row r="101" spans="2:18" s="6" customFormat="1" ht="22.5" customHeight="1">
      <c r="B101" s="22"/>
      <c r="R101" s="23"/>
    </row>
    <row r="102" spans="2:21" s="6" customFormat="1" ht="30" customHeight="1">
      <c r="B102" s="22"/>
      <c r="C102" s="64" t="s">
        <v>115</v>
      </c>
      <c r="N102" s="182">
        <f>ROUNDUP($N$103+$N$104+$N$105+$N$106+$N$107+$N$108,2)</f>
        <v>0</v>
      </c>
      <c r="O102" s="155"/>
      <c r="P102" s="155"/>
      <c r="Q102" s="155"/>
      <c r="R102" s="23"/>
      <c r="T102" s="99"/>
      <c r="U102" s="100" t="s">
        <v>42</v>
      </c>
    </row>
    <row r="103" spans="2:62" s="6" customFormat="1" ht="18.75" customHeight="1">
      <c r="B103" s="22"/>
      <c r="D103" s="181" t="s">
        <v>116</v>
      </c>
      <c r="E103" s="155"/>
      <c r="F103" s="155"/>
      <c r="G103" s="155"/>
      <c r="H103" s="155"/>
      <c r="N103" s="179">
        <f>ROUNDUP($N$87*$T$103,2)</f>
        <v>0</v>
      </c>
      <c r="O103" s="155"/>
      <c r="P103" s="155"/>
      <c r="Q103" s="155"/>
      <c r="R103" s="23"/>
      <c r="T103" s="101"/>
      <c r="U103" s="102" t="s">
        <v>43</v>
      </c>
      <c r="AY103" s="6" t="s">
        <v>117</v>
      </c>
      <c r="BE103" s="81">
        <f>IF($U$103="základní",$N$103,0)</f>
        <v>0</v>
      </c>
      <c r="BF103" s="81">
        <f>IF($U$103="snížená",$N$103,0)</f>
        <v>0</v>
      </c>
      <c r="BG103" s="81">
        <f>IF($U$103="zákl. přenesená",$N$103,0)</f>
        <v>0</v>
      </c>
      <c r="BH103" s="81">
        <f>IF($U$103="sníž. přenesená",$N$103,0)</f>
        <v>0</v>
      </c>
      <c r="BI103" s="81">
        <f>IF($U$103="nulová",$N$103,0)</f>
        <v>0</v>
      </c>
      <c r="BJ103" s="6" t="s">
        <v>21</v>
      </c>
    </row>
    <row r="104" spans="2:62" s="6" customFormat="1" ht="18.75" customHeight="1">
      <c r="B104" s="22"/>
      <c r="D104" s="181" t="s">
        <v>118</v>
      </c>
      <c r="E104" s="155"/>
      <c r="F104" s="155"/>
      <c r="G104" s="155"/>
      <c r="H104" s="155"/>
      <c r="N104" s="179">
        <f>ROUNDUP($N$87*$T$104,2)</f>
        <v>0</v>
      </c>
      <c r="O104" s="155"/>
      <c r="P104" s="155"/>
      <c r="Q104" s="155"/>
      <c r="R104" s="23"/>
      <c r="T104" s="101"/>
      <c r="U104" s="102" t="s">
        <v>43</v>
      </c>
      <c r="AY104" s="6" t="s">
        <v>117</v>
      </c>
      <c r="BE104" s="81">
        <f>IF($U$104="základní",$N$104,0)</f>
        <v>0</v>
      </c>
      <c r="BF104" s="81">
        <f>IF($U$104="snížená",$N$104,0)</f>
        <v>0</v>
      </c>
      <c r="BG104" s="81">
        <f>IF($U$104="zákl. přenesená",$N$104,0)</f>
        <v>0</v>
      </c>
      <c r="BH104" s="81">
        <f>IF($U$104="sníž. přenesená",$N$104,0)</f>
        <v>0</v>
      </c>
      <c r="BI104" s="81">
        <f>IF($U$104="nulová",$N$104,0)</f>
        <v>0</v>
      </c>
      <c r="BJ104" s="6" t="s">
        <v>21</v>
      </c>
    </row>
    <row r="105" spans="2:62" s="6" customFormat="1" ht="18.75" customHeight="1">
      <c r="B105" s="22"/>
      <c r="D105" s="181" t="s">
        <v>119</v>
      </c>
      <c r="E105" s="155"/>
      <c r="F105" s="155"/>
      <c r="G105" s="155"/>
      <c r="H105" s="155"/>
      <c r="N105" s="179">
        <f>ROUNDUP($N$87*$T$105,2)</f>
        <v>0</v>
      </c>
      <c r="O105" s="155"/>
      <c r="P105" s="155"/>
      <c r="Q105" s="155"/>
      <c r="R105" s="23"/>
      <c r="T105" s="101"/>
      <c r="U105" s="102" t="s">
        <v>43</v>
      </c>
      <c r="AY105" s="6" t="s">
        <v>117</v>
      </c>
      <c r="BE105" s="81">
        <f>IF($U$105="základní",$N$105,0)</f>
        <v>0</v>
      </c>
      <c r="BF105" s="81">
        <f>IF($U$105="snížená",$N$105,0)</f>
        <v>0</v>
      </c>
      <c r="BG105" s="81">
        <f>IF($U$105="zákl. přenesená",$N$105,0)</f>
        <v>0</v>
      </c>
      <c r="BH105" s="81">
        <f>IF($U$105="sníž. přenesená",$N$105,0)</f>
        <v>0</v>
      </c>
      <c r="BI105" s="81">
        <f>IF($U$105="nulová",$N$105,0)</f>
        <v>0</v>
      </c>
      <c r="BJ105" s="6" t="s">
        <v>21</v>
      </c>
    </row>
    <row r="106" spans="2:62" s="6" customFormat="1" ht="18.75" customHeight="1">
      <c r="B106" s="22"/>
      <c r="D106" s="181" t="s">
        <v>120</v>
      </c>
      <c r="E106" s="155"/>
      <c r="F106" s="155"/>
      <c r="G106" s="155"/>
      <c r="H106" s="155"/>
      <c r="N106" s="179">
        <f>ROUNDUP($N$87*$T$106,2)</f>
        <v>0</v>
      </c>
      <c r="O106" s="155"/>
      <c r="P106" s="155"/>
      <c r="Q106" s="155"/>
      <c r="R106" s="23"/>
      <c r="T106" s="101"/>
      <c r="U106" s="102" t="s">
        <v>43</v>
      </c>
      <c r="AY106" s="6" t="s">
        <v>117</v>
      </c>
      <c r="BE106" s="81">
        <f>IF($U$106="základní",$N$106,0)</f>
        <v>0</v>
      </c>
      <c r="BF106" s="81">
        <f>IF($U$106="snížená",$N$106,0)</f>
        <v>0</v>
      </c>
      <c r="BG106" s="81">
        <f>IF($U$106="zákl. přenesená",$N$106,0)</f>
        <v>0</v>
      </c>
      <c r="BH106" s="81">
        <f>IF($U$106="sníž. přenesená",$N$106,0)</f>
        <v>0</v>
      </c>
      <c r="BI106" s="81">
        <f>IF($U$106="nulová",$N$106,0)</f>
        <v>0</v>
      </c>
      <c r="BJ106" s="6" t="s">
        <v>21</v>
      </c>
    </row>
    <row r="107" spans="2:62" s="6" customFormat="1" ht="18.75" customHeight="1">
      <c r="B107" s="22"/>
      <c r="D107" s="181" t="s">
        <v>121</v>
      </c>
      <c r="E107" s="155"/>
      <c r="F107" s="155"/>
      <c r="G107" s="155"/>
      <c r="H107" s="155"/>
      <c r="N107" s="179">
        <f>ROUNDUP($N$87*$T$107,2)</f>
        <v>0</v>
      </c>
      <c r="O107" s="155"/>
      <c r="P107" s="155"/>
      <c r="Q107" s="155"/>
      <c r="R107" s="23"/>
      <c r="T107" s="101"/>
      <c r="U107" s="102" t="s">
        <v>43</v>
      </c>
      <c r="AY107" s="6" t="s">
        <v>117</v>
      </c>
      <c r="BE107" s="81">
        <f>IF($U$107="základní",$N$107,0)</f>
        <v>0</v>
      </c>
      <c r="BF107" s="81">
        <f>IF($U$107="snížená",$N$107,0)</f>
        <v>0</v>
      </c>
      <c r="BG107" s="81">
        <f>IF($U$107="zákl. přenesená",$N$107,0)</f>
        <v>0</v>
      </c>
      <c r="BH107" s="81">
        <f>IF($U$107="sníž. přenesená",$N$107,0)</f>
        <v>0</v>
      </c>
      <c r="BI107" s="81">
        <f>IF($U$107="nulová",$N$107,0)</f>
        <v>0</v>
      </c>
      <c r="BJ107" s="6" t="s">
        <v>21</v>
      </c>
    </row>
    <row r="108" spans="2:62" s="6" customFormat="1" ht="18.75" customHeight="1">
      <c r="B108" s="22"/>
      <c r="D108" s="77" t="s">
        <v>122</v>
      </c>
      <c r="N108" s="179">
        <f>ROUNDUP($N$87*$T$108,2)</f>
        <v>0</v>
      </c>
      <c r="O108" s="155"/>
      <c r="P108" s="155"/>
      <c r="Q108" s="155"/>
      <c r="R108" s="23"/>
      <c r="T108" s="103"/>
      <c r="U108" s="104" t="s">
        <v>43</v>
      </c>
      <c r="AY108" s="6" t="s">
        <v>123</v>
      </c>
      <c r="BE108" s="81">
        <f>IF($U$108="základní",$N$108,0)</f>
        <v>0</v>
      </c>
      <c r="BF108" s="81">
        <f>IF($U$108="snížená",$N$108,0)</f>
        <v>0</v>
      </c>
      <c r="BG108" s="81">
        <f>IF($U$108="zákl. přenesená",$N$108,0)</f>
        <v>0</v>
      </c>
      <c r="BH108" s="81">
        <f>IF($U$108="sníž. přenesená",$N$108,0)</f>
        <v>0</v>
      </c>
      <c r="BI108" s="81">
        <f>IF($U$108="nulová",$N$108,0)</f>
        <v>0</v>
      </c>
      <c r="BJ108" s="6" t="s">
        <v>21</v>
      </c>
    </row>
    <row r="109" spans="2:18" s="6" customFormat="1" ht="14.25" customHeight="1">
      <c r="B109" s="22"/>
      <c r="R109" s="23"/>
    </row>
    <row r="110" spans="2:18" s="6" customFormat="1" ht="30" customHeight="1">
      <c r="B110" s="22"/>
      <c r="C110" s="88" t="s">
        <v>91</v>
      </c>
      <c r="D110" s="31"/>
      <c r="E110" s="31"/>
      <c r="F110" s="31"/>
      <c r="G110" s="31"/>
      <c r="H110" s="31"/>
      <c r="I110" s="31"/>
      <c r="J110" s="31"/>
      <c r="K110" s="31"/>
      <c r="L110" s="184">
        <f>ROUNDUP(SUM($N$87+$N$102),2)</f>
        <v>0</v>
      </c>
      <c r="M110" s="185"/>
      <c r="N110" s="185"/>
      <c r="O110" s="185"/>
      <c r="P110" s="185"/>
      <c r="Q110" s="185"/>
      <c r="R110" s="23"/>
    </row>
    <row r="111" spans="2:18" s="6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5" spans="2:18" s="6" customFormat="1" ht="7.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6" customFormat="1" ht="37.5" customHeight="1">
      <c r="B116" s="22"/>
      <c r="C116" s="153" t="s">
        <v>124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23"/>
    </row>
    <row r="117" spans="2:18" s="6" customFormat="1" ht="7.5" customHeight="1">
      <c r="B117" s="22"/>
      <c r="R117" s="23"/>
    </row>
    <row r="118" spans="2:18" s="6" customFormat="1" ht="37.5" customHeight="1">
      <c r="B118" s="22"/>
      <c r="C118" s="52" t="s">
        <v>16</v>
      </c>
      <c r="F118" s="169" t="str">
        <f>$F$6</f>
        <v>Oprava balkónů bytového domu</v>
      </c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R118" s="23"/>
    </row>
    <row r="119" spans="2:18" s="6" customFormat="1" ht="7.5" customHeight="1">
      <c r="B119" s="22"/>
      <c r="R119" s="23"/>
    </row>
    <row r="120" spans="2:18" s="6" customFormat="1" ht="18.75" customHeight="1">
      <c r="B120" s="22"/>
      <c r="C120" s="17" t="s">
        <v>22</v>
      </c>
      <c r="F120" s="15" t="str">
        <f>$F$8</f>
        <v>Kolín</v>
      </c>
      <c r="K120" s="17" t="s">
        <v>24</v>
      </c>
      <c r="M120" s="191" t="str">
        <f>IF($O$8="","",$O$8)</f>
        <v>28.11.2013</v>
      </c>
      <c r="N120" s="155"/>
      <c r="O120" s="155"/>
      <c r="P120" s="155"/>
      <c r="R120" s="23"/>
    </row>
    <row r="121" spans="2:18" s="6" customFormat="1" ht="7.5" customHeight="1">
      <c r="B121" s="22"/>
      <c r="R121" s="23"/>
    </row>
    <row r="122" spans="2:18" s="6" customFormat="1" ht="15.75" customHeight="1">
      <c r="B122" s="22"/>
      <c r="C122" s="17" t="s">
        <v>28</v>
      </c>
      <c r="F122" s="15" t="str">
        <f>$E$11</f>
        <v>Město Kolín, Karlovo nám. čp. 78, 280 02 Kolín 1</v>
      </c>
      <c r="K122" s="17" t="s">
        <v>34</v>
      </c>
      <c r="M122" s="157" t="str">
        <f>$E$17</f>
        <v>Ing. Karel Vrátný, Rubešova 60, 280 02 Kolín 1</v>
      </c>
      <c r="N122" s="155"/>
      <c r="O122" s="155"/>
      <c r="P122" s="155"/>
      <c r="Q122" s="155"/>
      <c r="R122" s="23"/>
    </row>
    <row r="123" spans="2:18" s="6" customFormat="1" ht="15" customHeight="1">
      <c r="B123" s="22"/>
      <c r="C123" s="17" t="s">
        <v>32</v>
      </c>
      <c r="F123" s="15" t="str">
        <f>IF($E$14="","",$E$14)</f>
        <v>dle výběru investora</v>
      </c>
      <c r="K123" s="17" t="s">
        <v>37</v>
      </c>
      <c r="M123" s="157" t="str">
        <f>$E$20</f>
        <v>Alena Vrátná</v>
      </c>
      <c r="N123" s="155"/>
      <c r="O123" s="155"/>
      <c r="P123" s="155"/>
      <c r="Q123" s="155"/>
      <c r="R123" s="23"/>
    </row>
    <row r="124" spans="2:18" s="6" customFormat="1" ht="11.25" customHeight="1">
      <c r="B124" s="22"/>
      <c r="R124" s="23"/>
    </row>
    <row r="125" spans="2:27" s="105" customFormat="1" ht="30" customHeight="1">
      <c r="B125" s="106"/>
      <c r="C125" s="107" t="s">
        <v>125</v>
      </c>
      <c r="D125" s="108" t="s">
        <v>126</v>
      </c>
      <c r="E125" s="108" t="s">
        <v>60</v>
      </c>
      <c r="F125" s="196" t="s">
        <v>127</v>
      </c>
      <c r="G125" s="197"/>
      <c r="H125" s="197"/>
      <c r="I125" s="197"/>
      <c r="J125" s="108" t="s">
        <v>128</v>
      </c>
      <c r="K125" s="108" t="s">
        <v>129</v>
      </c>
      <c r="L125" s="196" t="s">
        <v>130</v>
      </c>
      <c r="M125" s="197"/>
      <c r="N125" s="196" t="s">
        <v>131</v>
      </c>
      <c r="O125" s="197"/>
      <c r="P125" s="197"/>
      <c r="Q125" s="198"/>
      <c r="R125" s="109"/>
      <c r="T125" s="59" t="s">
        <v>132</v>
      </c>
      <c r="U125" s="60" t="s">
        <v>42</v>
      </c>
      <c r="V125" s="60" t="s">
        <v>133</v>
      </c>
      <c r="W125" s="60" t="s">
        <v>134</v>
      </c>
      <c r="X125" s="60" t="s">
        <v>135</v>
      </c>
      <c r="Y125" s="60" t="s">
        <v>136</v>
      </c>
      <c r="Z125" s="60" t="s">
        <v>137</v>
      </c>
      <c r="AA125" s="61" t="s">
        <v>138</v>
      </c>
    </row>
    <row r="126" spans="2:63" s="6" customFormat="1" ht="30" customHeight="1">
      <c r="B126" s="22"/>
      <c r="C126" s="64" t="s">
        <v>96</v>
      </c>
      <c r="N126" s="213">
        <f>$BK$126</f>
        <v>0</v>
      </c>
      <c r="O126" s="155"/>
      <c r="P126" s="155"/>
      <c r="Q126" s="155"/>
      <c r="R126" s="23"/>
      <c r="T126" s="63"/>
      <c r="U126" s="36"/>
      <c r="V126" s="36"/>
      <c r="W126" s="110">
        <f>$W$127+$W$175+$W$219</f>
        <v>868.2506120000002</v>
      </c>
      <c r="X126" s="36"/>
      <c r="Y126" s="110">
        <f>$Y$127+$Y$175+$Y$219</f>
        <v>12.821360919999998</v>
      </c>
      <c r="Z126" s="36"/>
      <c r="AA126" s="111">
        <f>$AA$127+$AA$175+$AA$219</f>
        <v>8.440094</v>
      </c>
      <c r="AT126" s="6" t="s">
        <v>77</v>
      </c>
      <c r="AU126" s="6" t="s">
        <v>101</v>
      </c>
      <c r="BK126" s="112">
        <f>$BK$127+$BK$175+$BK$219</f>
        <v>0</v>
      </c>
    </row>
    <row r="127" spans="2:63" s="113" customFormat="1" ht="37.5" customHeight="1">
      <c r="B127" s="114"/>
      <c r="D127" s="115" t="s">
        <v>102</v>
      </c>
      <c r="N127" s="195">
        <f>$BK$127</f>
        <v>0</v>
      </c>
      <c r="O127" s="214"/>
      <c r="P127" s="214"/>
      <c r="Q127" s="214"/>
      <c r="R127" s="117"/>
      <c r="T127" s="118"/>
      <c r="W127" s="119">
        <f>$W$128+$W$139+$W$150+$W$156</f>
        <v>699.1159340000002</v>
      </c>
      <c r="Y127" s="119">
        <f>$Y$128+$Y$139+$Y$150+$Y$156</f>
        <v>10.561644699999999</v>
      </c>
      <c r="AA127" s="120">
        <f>$AA$128+$AA$139+$AA$150+$AA$156</f>
        <v>7.6724</v>
      </c>
      <c r="AR127" s="116" t="s">
        <v>21</v>
      </c>
      <c r="AT127" s="116" t="s">
        <v>77</v>
      </c>
      <c r="AU127" s="116" t="s">
        <v>78</v>
      </c>
      <c r="AY127" s="116" t="s">
        <v>139</v>
      </c>
      <c r="BK127" s="121">
        <f>$BK$128+$BK$139+$BK$150+$BK$156</f>
        <v>0</v>
      </c>
    </row>
    <row r="128" spans="2:63" s="113" customFormat="1" ht="21" customHeight="1">
      <c r="B128" s="114"/>
      <c r="D128" s="122" t="s">
        <v>103</v>
      </c>
      <c r="N128" s="215">
        <f>$BK$128</f>
        <v>0</v>
      </c>
      <c r="O128" s="214"/>
      <c r="P128" s="214"/>
      <c r="Q128" s="214"/>
      <c r="R128" s="117"/>
      <c r="T128" s="118"/>
      <c r="W128" s="119">
        <f>SUM($W$129:$W$138)</f>
        <v>534.7293000000001</v>
      </c>
      <c r="Y128" s="119">
        <f>SUM($Y$129:$Y$138)</f>
        <v>2.2607299999999997</v>
      </c>
      <c r="AA128" s="120">
        <f>SUM($AA$129:$AA$138)</f>
        <v>0</v>
      </c>
      <c r="AR128" s="116" t="s">
        <v>21</v>
      </c>
      <c r="AT128" s="116" t="s">
        <v>77</v>
      </c>
      <c r="AU128" s="116" t="s">
        <v>21</v>
      </c>
      <c r="AY128" s="116" t="s">
        <v>139</v>
      </c>
      <c r="BK128" s="121">
        <f>SUM($BK$129:$BK$138)</f>
        <v>0</v>
      </c>
    </row>
    <row r="129" spans="2:64" s="6" customFormat="1" ht="27" customHeight="1">
      <c r="B129" s="22"/>
      <c r="C129" s="123" t="s">
        <v>21</v>
      </c>
      <c r="D129" s="123" t="s">
        <v>140</v>
      </c>
      <c r="E129" s="124" t="s">
        <v>141</v>
      </c>
      <c r="F129" s="199" t="s">
        <v>142</v>
      </c>
      <c r="G129" s="200"/>
      <c r="H129" s="200"/>
      <c r="I129" s="200"/>
      <c r="J129" s="125" t="s">
        <v>143</v>
      </c>
      <c r="K129" s="126">
        <v>0.897</v>
      </c>
      <c r="L129" s="201">
        <v>0</v>
      </c>
      <c r="M129" s="200"/>
      <c r="N129" s="202">
        <f>ROUND($L$129*$K$129,2)</f>
        <v>0</v>
      </c>
      <c r="O129" s="200"/>
      <c r="P129" s="200"/>
      <c r="Q129" s="200"/>
      <c r="R129" s="23"/>
      <c r="T129" s="127"/>
      <c r="U129" s="29" t="s">
        <v>43</v>
      </c>
      <c r="V129" s="128">
        <v>36.9</v>
      </c>
      <c r="W129" s="128">
        <f>$V$129*$K$129</f>
        <v>33.0993</v>
      </c>
      <c r="X129" s="128">
        <v>1.09</v>
      </c>
      <c r="Y129" s="128">
        <f>$X$129*$K$129</f>
        <v>0.9777300000000001</v>
      </c>
      <c r="Z129" s="128">
        <v>0</v>
      </c>
      <c r="AA129" s="129">
        <f>$Z$129*$K$129</f>
        <v>0</v>
      </c>
      <c r="AR129" s="6" t="s">
        <v>144</v>
      </c>
      <c r="AT129" s="6" t="s">
        <v>140</v>
      </c>
      <c r="AU129" s="6" t="s">
        <v>93</v>
      </c>
      <c r="AY129" s="6" t="s">
        <v>139</v>
      </c>
      <c r="BE129" s="81">
        <f>IF($U$129="základní",$N$129,0)</f>
        <v>0</v>
      </c>
      <c r="BF129" s="81">
        <f>IF($U$129="snížená",$N$129,0)</f>
        <v>0</v>
      </c>
      <c r="BG129" s="81">
        <f>IF($U$129="zákl. přenesená",$N$129,0)</f>
        <v>0</v>
      </c>
      <c r="BH129" s="81">
        <f>IF($U$129="sníž. přenesená",$N$129,0)</f>
        <v>0</v>
      </c>
      <c r="BI129" s="81">
        <f>IF($U$129="nulová",$N$129,0)</f>
        <v>0</v>
      </c>
      <c r="BJ129" s="6" t="s">
        <v>21</v>
      </c>
      <c r="BK129" s="81">
        <f>ROUND($L$129*$K$129,2)</f>
        <v>0</v>
      </c>
      <c r="BL129" s="6" t="s">
        <v>144</v>
      </c>
    </row>
    <row r="130" spans="2:51" s="6" customFormat="1" ht="15.75" customHeight="1">
      <c r="B130" s="130"/>
      <c r="E130" s="131"/>
      <c r="F130" s="203" t="s">
        <v>145</v>
      </c>
      <c r="G130" s="204"/>
      <c r="H130" s="204"/>
      <c r="I130" s="204"/>
      <c r="K130" s="132">
        <v>0.897</v>
      </c>
      <c r="R130" s="133"/>
      <c r="T130" s="134"/>
      <c r="AA130" s="135"/>
      <c r="AT130" s="131" t="s">
        <v>146</v>
      </c>
      <c r="AU130" s="131" t="s">
        <v>93</v>
      </c>
      <c r="AV130" s="131" t="s">
        <v>93</v>
      </c>
      <c r="AW130" s="131" t="s">
        <v>101</v>
      </c>
      <c r="AX130" s="131" t="s">
        <v>21</v>
      </c>
      <c r="AY130" s="131" t="s">
        <v>139</v>
      </c>
    </row>
    <row r="131" spans="2:64" s="6" customFormat="1" ht="27" customHeight="1">
      <c r="B131" s="22"/>
      <c r="C131" s="136" t="s">
        <v>93</v>
      </c>
      <c r="D131" s="136" t="s">
        <v>147</v>
      </c>
      <c r="E131" s="137" t="s">
        <v>148</v>
      </c>
      <c r="F131" s="205" t="s">
        <v>149</v>
      </c>
      <c r="G131" s="206"/>
      <c r="H131" s="206"/>
      <c r="I131" s="206"/>
      <c r="J131" s="138" t="s">
        <v>143</v>
      </c>
      <c r="K131" s="139">
        <v>1.01</v>
      </c>
      <c r="L131" s="207">
        <v>0</v>
      </c>
      <c r="M131" s="206"/>
      <c r="N131" s="208">
        <f>ROUND($L$131*$K$131,2)</f>
        <v>0</v>
      </c>
      <c r="O131" s="200"/>
      <c r="P131" s="200"/>
      <c r="Q131" s="200"/>
      <c r="R131" s="23"/>
      <c r="T131" s="127"/>
      <c r="U131" s="29" t="s">
        <v>43</v>
      </c>
      <c r="V131" s="128">
        <v>0</v>
      </c>
      <c r="W131" s="128">
        <f>$V$131*$K$131</f>
        <v>0</v>
      </c>
      <c r="X131" s="128">
        <v>1</v>
      </c>
      <c r="Y131" s="128">
        <f>$X$131*$K$131</f>
        <v>1.01</v>
      </c>
      <c r="Z131" s="128">
        <v>0</v>
      </c>
      <c r="AA131" s="129">
        <f>$Z$131*$K$131</f>
        <v>0</v>
      </c>
      <c r="AR131" s="6" t="s">
        <v>150</v>
      </c>
      <c r="AT131" s="6" t="s">
        <v>147</v>
      </c>
      <c r="AU131" s="6" t="s">
        <v>93</v>
      </c>
      <c r="AY131" s="6" t="s">
        <v>139</v>
      </c>
      <c r="BE131" s="81">
        <f>IF($U$131="základní",$N$131,0)</f>
        <v>0</v>
      </c>
      <c r="BF131" s="81">
        <f>IF($U$131="snížená",$N$131,0)</f>
        <v>0</v>
      </c>
      <c r="BG131" s="81">
        <f>IF($U$131="zákl. přenesená",$N$131,0)</f>
        <v>0</v>
      </c>
      <c r="BH131" s="81">
        <f>IF($U$131="sníž. přenesená",$N$131,0)</f>
        <v>0</v>
      </c>
      <c r="BI131" s="81">
        <f>IF($U$131="nulová",$N$131,0)</f>
        <v>0</v>
      </c>
      <c r="BJ131" s="6" t="s">
        <v>21</v>
      </c>
      <c r="BK131" s="81">
        <f>ROUND($L$131*$K$131,2)</f>
        <v>0</v>
      </c>
      <c r="BL131" s="6" t="s">
        <v>144</v>
      </c>
    </row>
    <row r="132" spans="2:51" s="6" customFormat="1" ht="15.75" customHeight="1">
      <c r="B132" s="130"/>
      <c r="E132" s="131"/>
      <c r="F132" s="203" t="s">
        <v>151</v>
      </c>
      <c r="G132" s="204"/>
      <c r="H132" s="204"/>
      <c r="I132" s="204"/>
      <c r="K132" s="132">
        <v>1.01</v>
      </c>
      <c r="R132" s="133"/>
      <c r="T132" s="134"/>
      <c r="AA132" s="135"/>
      <c r="AT132" s="131" t="s">
        <v>146</v>
      </c>
      <c r="AU132" s="131" t="s">
        <v>93</v>
      </c>
      <c r="AV132" s="131" t="s">
        <v>93</v>
      </c>
      <c r="AW132" s="131" t="s">
        <v>101</v>
      </c>
      <c r="AX132" s="131" t="s">
        <v>21</v>
      </c>
      <c r="AY132" s="131" t="s">
        <v>139</v>
      </c>
    </row>
    <row r="133" spans="2:64" s="6" customFormat="1" ht="27" customHeight="1">
      <c r="B133" s="22"/>
      <c r="C133" s="136" t="s">
        <v>152</v>
      </c>
      <c r="D133" s="136" t="s">
        <v>147</v>
      </c>
      <c r="E133" s="137" t="s">
        <v>153</v>
      </c>
      <c r="F133" s="205" t="s">
        <v>154</v>
      </c>
      <c r="G133" s="206"/>
      <c r="H133" s="206"/>
      <c r="I133" s="206"/>
      <c r="J133" s="138" t="s">
        <v>143</v>
      </c>
      <c r="K133" s="139">
        <v>0.086</v>
      </c>
      <c r="L133" s="207">
        <v>0</v>
      </c>
      <c r="M133" s="206"/>
      <c r="N133" s="208">
        <f>ROUND($L$133*$K$133,2)</f>
        <v>0</v>
      </c>
      <c r="O133" s="200"/>
      <c r="P133" s="200"/>
      <c r="Q133" s="200"/>
      <c r="R133" s="23"/>
      <c r="T133" s="127"/>
      <c r="U133" s="29" t="s">
        <v>43</v>
      </c>
      <c r="V133" s="128">
        <v>0</v>
      </c>
      <c r="W133" s="128">
        <f>$V$133*$K$133</f>
        <v>0</v>
      </c>
      <c r="X133" s="128">
        <v>1</v>
      </c>
      <c r="Y133" s="128">
        <f>$X$133*$K$133</f>
        <v>0.086</v>
      </c>
      <c r="Z133" s="128">
        <v>0</v>
      </c>
      <c r="AA133" s="129">
        <f>$Z$133*$K$133</f>
        <v>0</v>
      </c>
      <c r="AR133" s="6" t="s">
        <v>150</v>
      </c>
      <c r="AT133" s="6" t="s">
        <v>147</v>
      </c>
      <c r="AU133" s="6" t="s">
        <v>93</v>
      </c>
      <c r="AY133" s="6" t="s">
        <v>139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21</v>
      </c>
      <c r="BK133" s="81">
        <f>ROUND($L$133*$K$133,2)</f>
        <v>0</v>
      </c>
      <c r="BL133" s="6" t="s">
        <v>144</v>
      </c>
    </row>
    <row r="134" spans="2:51" s="6" customFormat="1" ht="15.75" customHeight="1">
      <c r="B134" s="130"/>
      <c r="E134" s="131"/>
      <c r="F134" s="203" t="s">
        <v>155</v>
      </c>
      <c r="G134" s="204"/>
      <c r="H134" s="204"/>
      <c r="I134" s="204"/>
      <c r="K134" s="132">
        <v>0.086</v>
      </c>
      <c r="R134" s="133"/>
      <c r="T134" s="134"/>
      <c r="AA134" s="135"/>
      <c r="AT134" s="131" t="s">
        <v>146</v>
      </c>
      <c r="AU134" s="131" t="s">
        <v>93</v>
      </c>
      <c r="AV134" s="131" t="s">
        <v>93</v>
      </c>
      <c r="AW134" s="131" t="s">
        <v>101</v>
      </c>
      <c r="AX134" s="131" t="s">
        <v>21</v>
      </c>
      <c r="AY134" s="131" t="s">
        <v>139</v>
      </c>
    </row>
    <row r="135" spans="2:64" s="6" customFormat="1" ht="27" customHeight="1">
      <c r="B135" s="22"/>
      <c r="C135" s="136" t="s">
        <v>144</v>
      </c>
      <c r="D135" s="136" t="s">
        <v>147</v>
      </c>
      <c r="E135" s="137" t="s">
        <v>156</v>
      </c>
      <c r="F135" s="205" t="s">
        <v>157</v>
      </c>
      <c r="G135" s="206"/>
      <c r="H135" s="206"/>
      <c r="I135" s="206"/>
      <c r="J135" s="138" t="s">
        <v>143</v>
      </c>
      <c r="K135" s="139">
        <v>0.187</v>
      </c>
      <c r="L135" s="207">
        <v>0</v>
      </c>
      <c r="M135" s="206"/>
      <c r="N135" s="208">
        <f>ROUND($L$135*$K$135,2)</f>
        <v>0</v>
      </c>
      <c r="O135" s="200"/>
      <c r="P135" s="200"/>
      <c r="Q135" s="200"/>
      <c r="R135" s="23"/>
      <c r="T135" s="127"/>
      <c r="U135" s="29" t="s">
        <v>43</v>
      </c>
      <c r="V135" s="128">
        <v>0</v>
      </c>
      <c r="W135" s="128">
        <f>$V$135*$K$135</f>
        <v>0</v>
      </c>
      <c r="X135" s="128">
        <v>1</v>
      </c>
      <c r="Y135" s="128">
        <f>$X$135*$K$135</f>
        <v>0.187</v>
      </c>
      <c r="Z135" s="128">
        <v>0</v>
      </c>
      <c r="AA135" s="129">
        <f>$Z$135*$K$135</f>
        <v>0</v>
      </c>
      <c r="AR135" s="6" t="s">
        <v>150</v>
      </c>
      <c r="AT135" s="6" t="s">
        <v>147</v>
      </c>
      <c r="AU135" s="6" t="s">
        <v>93</v>
      </c>
      <c r="AY135" s="6" t="s">
        <v>139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21</v>
      </c>
      <c r="BK135" s="81">
        <f>ROUND($L$135*$K$135,2)</f>
        <v>0</v>
      </c>
      <c r="BL135" s="6" t="s">
        <v>144</v>
      </c>
    </row>
    <row r="136" spans="2:51" s="6" customFormat="1" ht="15.75" customHeight="1">
      <c r="B136" s="130"/>
      <c r="E136" s="131"/>
      <c r="F136" s="203" t="s">
        <v>158</v>
      </c>
      <c r="G136" s="204"/>
      <c r="H136" s="204"/>
      <c r="I136" s="204"/>
      <c r="K136" s="132">
        <v>0.187</v>
      </c>
      <c r="R136" s="133"/>
      <c r="T136" s="134"/>
      <c r="AA136" s="135"/>
      <c r="AT136" s="131" t="s">
        <v>146</v>
      </c>
      <c r="AU136" s="131" t="s">
        <v>93</v>
      </c>
      <c r="AV136" s="131" t="s">
        <v>93</v>
      </c>
      <c r="AW136" s="131" t="s">
        <v>101</v>
      </c>
      <c r="AX136" s="131" t="s">
        <v>21</v>
      </c>
      <c r="AY136" s="131" t="s">
        <v>139</v>
      </c>
    </row>
    <row r="137" spans="2:64" s="6" customFormat="1" ht="27" customHeight="1">
      <c r="B137" s="22"/>
      <c r="C137" s="123" t="s">
        <v>159</v>
      </c>
      <c r="D137" s="123" t="s">
        <v>140</v>
      </c>
      <c r="E137" s="124" t="s">
        <v>160</v>
      </c>
      <c r="F137" s="199" t="s">
        <v>161</v>
      </c>
      <c r="G137" s="200"/>
      <c r="H137" s="200"/>
      <c r="I137" s="200"/>
      <c r="J137" s="125" t="s">
        <v>162</v>
      </c>
      <c r="K137" s="126">
        <v>27.6</v>
      </c>
      <c r="L137" s="201">
        <v>0</v>
      </c>
      <c r="M137" s="200"/>
      <c r="N137" s="202">
        <f>ROUND($L$137*$K$137,2)</f>
        <v>0</v>
      </c>
      <c r="O137" s="200"/>
      <c r="P137" s="200"/>
      <c r="Q137" s="200"/>
      <c r="R137" s="23"/>
      <c r="T137" s="127"/>
      <c r="U137" s="29" t="s">
        <v>43</v>
      </c>
      <c r="V137" s="128">
        <v>18.175</v>
      </c>
      <c r="W137" s="128">
        <f>$V$137*$K$137</f>
        <v>501.63000000000005</v>
      </c>
      <c r="X137" s="128">
        <v>0</v>
      </c>
      <c r="Y137" s="128">
        <f>$X$137*$K$137</f>
        <v>0</v>
      </c>
      <c r="Z137" s="128">
        <v>0</v>
      </c>
      <c r="AA137" s="129">
        <f>$Z$137*$K$137</f>
        <v>0</v>
      </c>
      <c r="AR137" s="6" t="s">
        <v>144</v>
      </c>
      <c r="AT137" s="6" t="s">
        <v>140</v>
      </c>
      <c r="AU137" s="6" t="s">
        <v>93</v>
      </c>
      <c r="AY137" s="6" t="s">
        <v>139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81">
        <f>ROUND($L$137*$K$137,2)</f>
        <v>0</v>
      </c>
      <c r="BL137" s="6" t="s">
        <v>144</v>
      </c>
    </row>
    <row r="138" spans="2:51" s="6" customFormat="1" ht="15.75" customHeight="1">
      <c r="B138" s="130"/>
      <c r="E138" s="131"/>
      <c r="F138" s="203" t="s">
        <v>163</v>
      </c>
      <c r="G138" s="204"/>
      <c r="H138" s="204"/>
      <c r="I138" s="204"/>
      <c r="K138" s="132">
        <v>27.6</v>
      </c>
      <c r="R138" s="133"/>
      <c r="T138" s="134"/>
      <c r="AA138" s="135"/>
      <c r="AT138" s="131" t="s">
        <v>146</v>
      </c>
      <c r="AU138" s="131" t="s">
        <v>93</v>
      </c>
      <c r="AV138" s="131" t="s">
        <v>93</v>
      </c>
      <c r="AW138" s="131" t="s">
        <v>101</v>
      </c>
      <c r="AX138" s="131" t="s">
        <v>21</v>
      </c>
      <c r="AY138" s="131" t="s">
        <v>139</v>
      </c>
    </row>
    <row r="139" spans="2:63" s="113" customFormat="1" ht="30.75" customHeight="1">
      <c r="B139" s="114"/>
      <c r="D139" s="122" t="s">
        <v>104</v>
      </c>
      <c r="N139" s="215">
        <f>$BK$139</f>
        <v>0</v>
      </c>
      <c r="O139" s="214"/>
      <c r="P139" s="214"/>
      <c r="Q139" s="214"/>
      <c r="R139" s="117"/>
      <c r="T139" s="118"/>
      <c r="W139" s="119">
        <f>SUM($W$140:$W$149)</f>
        <v>39.542256</v>
      </c>
      <c r="Y139" s="119">
        <f>SUM($Y$140:$Y$149)</f>
        <v>4.0856207</v>
      </c>
      <c r="AA139" s="120">
        <f>SUM($AA$140:$AA$149)</f>
        <v>0</v>
      </c>
      <c r="AR139" s="116" t="s">
        <v>21</v>
      </c>
      <c r="AT139" s="116" t="s">
        <v>77</v>
      </c>
      <c r="AU139" s="116" t="s">
        <v>21</v>
      </c>
      <c r="AY139" s="116" t="s">
        <v>139</v>
      </c>
      <c r="BK139" s="121">
        <f>SUM($BK$140:$BK$149)</f>
        <v>0</v>
      </c>
    </row>
    <row r="140" spans="2:64" s="6" customFormat="1" ht="15.75" customHeight="1">
      <c r="B140" s="22"/>
      <c r="C140" s="123" t="s">
        <v>164</v>
      </c>
      <c r="D140" s="123" t="s">
        <v>140</v>
      </c>
      <c r="E140" s="124" t="s">
        <v>165</v>
      </c>
      <c r="F140" s="199" t="s">
        <v>166</v>
      </c>
      <c r="G140" s="200"/>
      <c r="H140" s="200"/>
      <c r="I140" s="200"/>
      <c r="J140" s="125" t="s">
        <v>167</v>
      </c>
      <c r="K140" s="126">
        <v>1.404</v>
      </c>
      <c r="L140" s="201">
        <v>0</v>
      </c>
      <c r="M140" s="200"/>
      <c r="N140" s="202">
        <f>ROUND($L$140*$K$140,2)</f>
        <v>0</v>
      </c>
      <c r="O140" s="200"/>
      <c r="P140" s="200"/>
      <c r="Q140" s="200"/>
      <c r="R140" s="23"/>
      <c r="T140" s="127"/>
      <c r="U140" s="29" t="s">
        <v>43</v>
      </c>
      <c r="V140" s="128">
        <v>1.224</v>
      </c>
      <c r="W140" s="128">
        <f>$V$140*$K$140</f>
        <v>1.7184959999999998</v>
      </c>
      <c r="X140" s="128">
        <v>2.45343</v>
      </c>
      <c r="Y140" s="128">
        <f>$X$140*$K$140</f>
        <v>3.44461572</v>
      </c>
      <c r="Z140" s="128">
        <v>0</v>
      </c>
      <c r="AA140" s="129">
        <f>$Z$140*$K$140</f>
        <v>0</v>
      </c>
      <c r="AR140" s="6" t="s">
        <v>144</v>
      </c>
      <c r="AT140" s="6" t="s">
        <v>140</v>
      </c>
      <c r="AU140" s="6" t="s">
        <v>93</v>
      </c>
      <c r="AY140" s="6" t="s">
        <v>139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21</v>
      </c>
      <c r="BK140" s="81">
        <f>ROUND($L$140*$K$140,2)</f>
        <v>0</v>
      </c>
      <c r="BL140" s="6" t="s">
        <v>144</v>
      </c>
    </row>
    <row r="141" spans="2:51" s="6" customFormat="1" ht="15.75" customHeight="1">
      <c r="B141" s="130"/>
      <c r="E141" s="131"/>
      <c r="F141" s="203" t="s">
        <v>168</v>
      </c>
      <c r="G141" s="204"/>
      <c r="H141" s="204"/>
      <c r="I141" s="204"/>
      <c r="K141" s="132">
        <v>1.404</v>
      </c>
      <c r="R141" s="133"/>
      <c r="T141" s="134"/>
      <c r="AA141" s="135"/>
      <c r="AT141" s="131" t="s">
        <v>146</v>
      </c>
      <c r="AU141" s="131" t="s">
        <v>93</v>
      </c>
      <c r="AV141" s="131" t="s">
        <v>93</v>
      </c>
      <c r="AW141" s="131" t="s">
        <v>101</v>
      </c>
      <c r="AX141" s="131" t="s">
        <v>21</v>
      </c>
      <c r="AY141" s="131" t="s">
        <v>139</v>
      </c>
    </row>
    <row r="142" spans="2:64" s="6" customFormat="1" ht="15.75" customHeight="1">
      <c r="B142" s="22"/>
      <c r="C142" s="123" t="s">
        <v>169</v>
      </c>
      <c r="D142" s="123" t="s">
        <v>140</v>
      </c>
      <c r="E142" s="124" t="s">
        <v>170</v>
      </c>
      <c r="F142" s="199" t="s">
        <v>171</v>
      </c>
      <c r="G142" s="200"/>
      <c r="H142" s="200"/>
      <c r="I142" s="200"/>
      <c r="J142" s="125" t="s">
        <v>172</v>
      </c>
      <c r="K142" s="126">
        <v>23.4</v>
      </c>
      <c r="L142" s="201">
        <v>0</v>
      </c>
      <c r="M142" s="200"/>
      <c r="N142" s="202">
        <f>ROUND($L$142*$K$142,2)</f>
        <v>0</v>
      </c>
      <c r="O142" s="200"/>
      <c r="P142" s="200"/>
      <c r="Q142" s="200"/>
      <c r="R142" s="23"/>
      <c r="T142" s="127"/>
      <c r="U142" s="29" t="s">
        <v>43</v>
      </c>
      <c r="V142" s="128">
        <v>0.511</v>
      </c>
      <c r="W142" s="128">
        <f>$V$142*$K$142</f>
        <v>11.9574</v>
      </c>
      <c r="X142" s="128">
        <v>0.00215</v>
      </c>
      <c r="Y142" s="128">
        <f>$X$142*$K$142</f>
        <v>0.050309999999999994</v>
      </c>
      <c r="Z142" s="128">
        <v>0</v>
      </c>
      <c r="AA142" s="129">
        <f>$Z$142*$K$142</f>
        <v>0</v>
      </c>
      <c r="AR142" s="6" t="s">
        <v>144</v>
      </c>
      <c r="AT142" s="6" t="s">
        <v>140</v>
      </c>
      <c r="AU142" s="6" t="s">
        <v>93</v>
      </c>
      <c r="AY142" s="6" t="s">
        <v>139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144</v>
      </c>
    </row>
    <row r="143" spans="2:51" s="6" customFormat="1" ht="15.75" customHeight="1">
      <c r="B143" s="130"/>
      <c r="E143" s="131"/>
      <c r="F143" s="203" t="s">
        <v>173</v>
      </c>
      <c r="G143" s="204"/>
      <c r="H143" s="204"/>
      <c r="I143" s="204"/>
      <c r="K143" s="132">
        <v>23.4</v>
      </c>
      <c r="R143" s="133"/>
      <c r="T143" s="134"/>
      <c r="AA143" s="135"/>
      <c r="AT143" s="131" t="s">
        <v>146</v>
      </c>
      <c r="AU143" s="131" t="s">
        <v>93</v>
      </c>
      <c r="AV143" s="131" t="s">
        <v>93</v>
      </c>
      <c r="AW143" s="131" t="s">
        <v>101</v>
      </c>
      <c r="AX143" s="131" t="s">
        <v>21</v>
      </c>
      <c r="AY143" s="131" t="s">
        <v>139</v>
      </c>
    </row>
    <row r="144" spans="2:64" s="6" customFormat="1" ht="15.75" customHeight="1">
      <c r="B144" s="22"/>
      <c r="C144" s="123" t="s">
        <v>150</v>
      </c>
      <c r="D144" s="123" t="s">
        <v>140</v>
      </c>
      <c r="E144" s="124" t="s">
        <v>174</v>
      </c>
      <c r="F144" s="199" t="s">
        <v>175</v>
      </c>
      <c r="G144" s="200"/>
      <c r="H144" s="200"/>
      <c r="I144" s="200"/>
      <c r="J144" s="125" t="s">
        <v>172</v>
      </c>
      <c r="K144" s="126">
        <v>23.4</v>
      </c>
      <c r="L144" s="201">
        <v>0</v>
      </c>
      <c r="M144" s="200"/>
      <c r="N144" s="202">
        <f>ROUND($L$144*$K$144,2)</f>
        <v>0</v>
      </c>
      <c r="O144" s="200"/>
      <c r="P144" s="200"/>
      <c r="Q144" s="200"/>
      <c r="R144" s="23"/>
      <c r="T144" s="127"/>
      <c r="U144" s="29" t="s">
        <v>43</v>
      </c>
      <c r="V144" s="128">
        <v>0.266</v>
      </c>
      <c r="W144" s="128">
        <f>$V$144*$K$144</f>
        <v>6.2244</v>
      </c>
      <c r="X144" s="128">
        <v>0</v>
      </c>
      <c r="Y144" s="128">
        <f>$X$144*$K$144</f>
        <v>0</v>
      </c>
      <c r="Z144" s="128">
        <v>0</v>
      </c>
      <c r="AA144" s="129">
        <f>$Z$144*$K$144</f>
        <v>0</v>
      </c>
      <c r="AR144" s="6" t="s">
        <v>144</v>
      </c>
      <c r="AT144" s="6" t="s">
        <v>140</v>
      </c>
      <c r="AU144" s="6" t="s">
        <v>93</v>
      </c>
      <c r="AY144" s="6" t="s">
        <v>139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81">
        <f>ROUND($L$144*$K$144,2)</f>
        <v>0</v>
      </c>
      <c r="BL144" s="6" t="s">
        <v>144</v>
      </c>
    </row>
    <row r="145" spans="2:64" s="6" customFormat="1" ht="27" customHeight="1">
      <c r="B145" s="22"/>
      <c r="C145" s="123" t="s">
        <v>176</v>
      </c>
      <c r="D145" s="123" t="s">
        <v>140</v>
      </c>
      <c r="E145" s="124" t="s">
        <v>177</v>
      </c>
      <c r="F145" s="199" t="s">
        <v>178</v>
      </c>
      <c r="G145" s="200"/>
      <c r="H145" s="200"/>
      <c r="I145" s="200"/>
      <c r="J145" s="125" t="s">
        <v>172</v>
      </c>
      <c r="K145" s="126">
        <v>23.4</v>
      </c>
      <c r="L145" s="201">
        <v>0</v>
      </c>
      <c r="M145" s="200"/>
      <c r="N145" s="202">
        <f>ROUND($L$145*$K$145,2)</f>
        <v>0</v>
      </c>
      <c r="O145" s="200"/>
      <c r="P145" s="200"/>
      <c r="Q145" s="200"/>
      <c r="R145" s="23"/>
      <c r="T145" s="127"/>
      <c r="U145" s="29" t="s">
        <v>43</v>
      </c>
      <c r="V145" s="128">
        <v>0.386</v>
      </c>
      <c r="W145" s="128">
        <f>$V$145*$K$145</f>
        <v>9.032399999999999</v>
      </c>
      <c r="X145" s="128">
        <v>0.0031</v>
      </c>
      <c r="Y145" s="128">
        <f>$X$145*$K$145</f>
        <v>0.07254</v>
      </c>
      <c r="Z145" s="128">
        <v>0</v>
      </c>
      <c r="AA145" s="129">
        <f>$Z$145*$K$145</f>
        <v>0</v>
      </c>
      <c r="AR145" s="6" t="s">
        <v>144</v>
      </c>
      <c r="AT145" s="6" t="s">
        <v>140</v>
      </c>
      <c r="AU145" s="6" t="s">
        <v>93</v>
      </c>
      <c r="AY145" s="6" t="s">
        <v>139</v>
      </c>
      <c r="BE145" s="81">
        <f>IF($U$145="základní",$N$145,0)</f>
        <v>0</v>
      </c>
      <c r="BF145" s="81">
        <f>IF($U$145="snížená",$N$145,0)</f>
        <v>0</v>
      </c>
      <c r="BG145" s="81">
        <f>IF($U$145="zákl. přenesená",$N$145,0)</f>
        <v>0</v>
      </c>
      <c r="BH145" s="81">
        <f>IF($U$145="sníž. přenesená",$N$145,0)</f>
        <v>0</v>
      </c>
      <c r="BI145" s="81">
        <f>IF($U$145="nulová",$N$145,0)</f>
        <v>0</v>
      </c>
      <c r="BJ145" s="6" t="s">
        <v>21</v>
      </c>
      <c r="BK145" s="81">
        <f>ROUND($L$145*$K$145,2)</f>
        <v>0</v>
      </c>
      <c r="BL145" s="6" t="s">
        <v>144</v>
      </c>
    </row>
    <row r="146" spans="2:64" s="6" customFormat="1" ht="27" customHeight="1">
      <c r="B146" s="22"/>
      <c r="C146" s="123" t="s">
        <v>26</v>
      </c>
      <c r="D146" s="123" t="s">
        <v>140</v>
      </c>
      <c r="E146" s="124" t="s">
        <v>179</v>
      </c>
      <c r="F146" s="199" t="s">
        <v>180</v>
      </c>
      <c r="G146" s="200"/>
      <c r="H146" s="200"/>
      <c r="I146" s="200"/>
      <c r="J146" s="125" t="s">
        <v>172</v>
      </c>
      <c r="K146" s="126">
        <v>23.4</v>
      </c>
      <c r="L146" s="201">
        <v>0</v>
      </c>
      <c r="M146" s="200"/>
      <c r="N146" s="202">
        <f>ROUND($L$146*$K$146,2)</f>
        <v>0</v>
      </c>
      <c r="O146" s="200"/>
      <c r="P146" s="200"/>
      <c r="Q146" s="200"/>
      <c r="R146" s="23"/>
      <c r="T146" s="127"/>
      <c r="U146" s="29" t="s">
        <v>43</v>
      </c>
      <c r="V146" s="128">
        <v>0.13</v>
      </c>
      <c r="W146" s="128">
        <f>$V$146*$K$146</f>
        <v>3.042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144</v>
      </c>
      <c r="AT146" s="6" t="s">
        <v>140</v>
      </c>
      <c r="AU146" s="6" t="s">
        <v>93</v>
      </c>
      <c r="AY146" s="6" t="s">
        <v>139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81">
        <f>ROUND($L$146*$K$146,2)</f>
        <v>0</v>
      </c>
      <c r="BL146" s="6" t="s">
        <v>144</v>
      </c>
    </row>
    <row r="147" spans="2:64" s="6" customFormat="1" ht="15.75" customHeight="1">
      <c r="B147" s="22"/>
      <c r="C147" s="123" t="s">
        <v>181</v>
      </c>
      <c r="D147" s="123" t="s">
        <v>140</v>
      </c>
      <c r="E147" s="124" t="s">
        <v>182</v>
      </c>
      <c r="F147" s="199" t="s">
        <v>183</v>
      </c>
      <c r="G147" s="200"/>
      <c r="H147" s="200"/>
      <c r="I147" s="200"/>
      <c r="J147" s="125" t="s">
        <v>143</v>
      </c>
      <c r="K147" s="126">
        <v>0.103</v>
      </c>
      <c r="L147" s="201">
        <v>0</v>
      </c>
      <c r="M147" s="200"/>
      <c r="N147" s="202">
        <f>ROUND($L$147*$K$147,2)</f>
        <v>0</v>
      </c>
      <c r="O147" s="200"/>
      <c r="P147" s="200"/>
      <c r="Q147" s="200"/>
      <c r="R147" s="23"/>
      <c r="T147" s="127"/>
      <c r="U147" s="29" t="s">
        <v>43</v>
      </c>
      <c r="V147" s="128">
        <v>38.52</v>
      </c>
      <c r="W147" s="128">
        <f>$V$147*$K$147</f>
        <v>3.96756</v>
      </c>
      <c r="X147" s="128">
        <v>1.04966</v>
      </c>
      <c r="Y147" s="128">
        <f>$X$147*$K$147</f>
        <v>0.10811498</v>
      </c>
      <c r="Z147" s="128">
        <v>0</v>
      </c>
      <c r="AA147" s="129">
        <f>$Z$147*$K$147</f>
        <v>0</v>
      </c>
      <c r="AR147" s="6" t="s">
        <v>144</v>
      </c>
      <c r="AT147" s="6" t="s">
        <v>140</v>
      </c>
      <c r="AU147" s="6" t="s">
        <v>93</v>
      </c>
      <c r="AY147" s="6" t="s">
        <v>139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21</v>
      </c>
      <c r="BK147" s="81">
        <f>ROUND($L$147*$K$147,2)</f>
        <v>0</v>
      </c>
      <c r="BL147" s="6" t="s">
        <v>144</v>
      </c>
    </row>
    <row r="148" spans="2:51" s="6" customFormat="1" ht="15.75" customHeight="1">
      <c r="B148" s="130"/>
      <c r="E148" s="131"/>
      <c r="F148" s="203" t="s">
        <v>184</v>
      </c>
      <c r="G148" s="204"/>
      <c r="H148" s="204"/>
      <c r="I148" s="204"/>
      <c r="K148" s="132">
        <v>0.103</v>
      </c>
      <c r="R148" s="133"/>
      <c r="T148" s="134"/>
      <c r="AA148" s="135"/>
      <c r="AT148" s="131" t="s">
        <v>146</v>
      </c>
      <c r="AU148" s="131" t="s">
        <v>93</v>
      </c>
      <c r="AV148" s="131" t="s">
        <v>93</v>
      </c>
      <c r="AW148" s="131" t="s">
        <v>101</v>
      </c>
      <c r="AX148" s="131" t="s">
        <v>21</v>
      </c>
      <c r="AY148" s="131" t="s">
        <v>139</v>
      </c>
    </row>
    <row r="149" spans="2:64" s="6" customFormat="1" ht="27" customHeight="1">
      <c r="B149" s="22"/>
      <c r="C149" s="123" t="s">
        <v>185</v>
      </c>
      <c r="D149" s="123" t="s">
        <v>140</v>
      </c>
      <c r="E149" s="124" t="s">
        <v>186</v>
      </c>
      <c r="F149" s="199" t="s">
        <v>187</v>
      </c>
      <c r="G149" s="200"/>
      <c r="H149" s="200"/>
      <c r="I149" s="200"/>
      <c r="J149" s="125" t="s">
        <v>188</v>
      </c>
      <c r="K149" s="126">
        <v>18</v>
      </c>
      <c r="L149" s="201">
        <v>0</v>
      </c>
      <c r="M149" s="200"/>
      <c r="N149" s="202">
        <f>ROUND($L$149*$K$149,2)</f>
        <v>0</v>
      </c>
      <c r="O149" s="200"/>
      <c r="P149" s="200"/>
      <c r="Q149" s="200"/>
      <c r="R149" s="23"/>
      <c r="T149" s="127"/>
      <c r="U149" s="29" t="s">
        <v>43</v>
      </c>
      <c r="V149" s="128">
        <v>0.2</v>
      </c>
      <c r="W149" s="128">
        <f>$V$149*$K$149</f>
        <v>3.6</v>
      </c>
      <c r="X149" s="128">
        <v>0.02278</v>
      </c>
      <c r="Y149" s="128">
        <f>$X$149*$K$149</f>
        <v>0.41004</v>
      </c>
      <c r="Z149" s="128">
        <v>0</v>
      </c>
      <c r="AA149" s="129">
        <f>$Z$149*$K$149</f>
        <v>0</v>
      </c>
      <c r="AR149" s="6" t="s">
        <v>144</v>
      </c>
      <c r="AT149" s="6" t="s">
        <v>140</v>
      </c>
      <c r="AU149" s="6" t="s">
        <v>93</v>
      </c>
      <c r="AY149" s="6" t="s">
        <v>139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81">
        <f>ROUND($L$149*$K$149,2)</f>
        <v>0</v>
      </c>
      <c r="BL149" s="6" t="s">
        <v>144</v>
      </c>
    </row>
    <row r="150" spans="2:63" s="113" customFormat="1" ht="30.75" customHeight="1">
      <c r="B150" s="114"/>
      <c r="D150" s="122" t="s">
        <v>105</v>
      </c>
      <c r="N150" s="215">
        <f>$BK$150</f>
        <v>0</v>
      </c>
      <c r="O150" s="214"/>
      <c r="P150" s="214"/>
      <c r="Q150" s="214"/>
      <c r="R150" s="117"/>
      <c r="T150" s="118"/>
      <c r="W150" s="119">
        <f>SUM($W$151:$W$155)</f>
        <v>30.500429999999998</v>
      </c>
      <c r="Y150" s="119">
        <f>SUM($Y$151:$Y$155)</f>
        <v>4.215293999999999</v>
      </c>
      <c r="AA150" s="120">
        <f>SUM($AA$151:$AA$155)</f>
        <v>0</v>
      </c>
      <c r="AR150" s="116" t="s">
        <v>21</v>
      </c>
      <c r="AT150" s="116" t="s">
        <v>77</v>
      </c>
      <c r="AU150" s="116" t="s">
        <v>21</v>
      </c>
      <c r="AY150" s="116" t="s">
        <v>139</v>
      </c>
      <c r="BK150" s="121">
        <f>SUM($BK$151:$BK$155)</f>
        <v>0</v>
      </c>
    </row>
    <row r="151" spans="2:64" s="6" customFormat="1" ht="15.75" customHeight="1">
      <c r="B151" s="22"/>
      <c r="C151" s="123" t="s">
        <v>189</v>
      </c>
      <c r="D151" s="123" t="s">
        <v>140</v>
      </c>
      <c r="E151" s="124" t="s">
        <v>190</v>
      </c>
      <c r="F151" s="199" t="s">
        <v>191</v>
      </c>
      <c r="G151" s="200"/>
      <c r="H151" s="200"/>
      <c r="I151" s="200"/>
      <c r="J151" s="125" t="s">
        <v>172</v>
      </c>
      <c r="K151" s="126">
        <v>44.922</v>
      </c>
      <c r="L151" s="201">
        <v>0</v>
      </c>
      <c r="M151" s="200"/>
      <c r="N151" s="202">
        <f>ROUND($L$151*$K$151,2)</f>
        <v>0</v>
      </c>
      <c r="O151" s="200"/>
      <c r="P151" s="200"/>
      <c r="Q151" s="200"/>
      <c r="R151" s="23"/>
      <c r="T151" s="127"/>
      <c r="U151" s="29" t="s">
        <v>43</v>
      </c>
      <c r="V151" s="128">
        <v>0.14</v>
      </c>
      <c r="W151" s="128">
        <f>$V$151*$K$151</f>
        <v>6.28908</v>
      </c>
      <c r="X151" s="128">
        <v>0</v>
      </c>
      <c r="Y151" s="128">
        <f>$X$151*$K$151</f>
        <v>0</v>
      </c>
      <c r="Z151" s="128">
        <v>0</v>
      </c>
      <c r="AA151" s="129">
        <f>$Z$151*$K$151</f>
        <v>0</v>
      </c>
      <c r="AR151" s="6" t="s">
        <v>144</v>
      </c>
      <c r="AT151" s="6" t="s">
        <v>140</v>
      </c>
      <c r="AU151" s="6" t="s">
        <v>93</v>
      </c>
      <c r="AY151" s="6" t="s">
        <v>139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81">
        <f>ROUND($L$151*$K$151,2)</f>
        <v>0</v>
      </c>
      <c r="BL151" s="6" t="s">
        <v>144</v>
      </c>
    </row>
    <row r="152" spans="2:51" s="6" customFormat="1" ht="15.75" customHeight="1">
      <c r="B152" s="130"/>
      <c r="E152" s="131"/>
      <c r="F152" s="203" t="s">
        <v>192</v>
      </c>
      <c r="G152" s="204"/>
      <c r="H152" s="204"/>
      <c r="I152" s="204"/>
      <c r="K152" s="132">
        <v>44.922</v>
      </c>
      <c r="R152" s="133"/>
      <c r="T152" s="134"/>
      <c r="AA152" s="135"/>
      <c r="AT152" s="131" t="s">
        <v>146</v>
      </c>
      <c r="AU152" s="131" t="s">
        <v>93</v>
      </c>
      <c r="AV152" s="131" t="s">
        <v>93</v>
      </c>
      <c r="AW152" s="131" t="s">
        <v>101</v>
      </c>
      <c r="AX152" s="131" t="s">
        <v>21</v>
      </c>
      <c r="AY152" s="131" t="s">
        <v>139</v>
      </c>
    </row>
    <row r="153" spans="2:64" s="6" customFormat="1" ht="27" customHeight="1">
      <c r="B153" s="22"/>
      <c r="C153" s="123" t="s">
        <v>193</v>
      </c>
      <c r="D153" s="123" t="s">
        <v>140</v>
      </c>
      <c r="E153" s="124" t="s">
        <v>194</v>
      </c>
      <c r="F153" s="199" t="s">
        <v>195</v>
      </c>
      <c r="G153" s="200"/>
      <c r="H153" s="200"/>
      <c r="I153" s="200"/>
      <c r="J153" s="125" t="s">
        <v>172</v>
      </c>
      <c r="K153" s="126">
        <v>46.65</v>
      </c>
      <c r="L153" s="201">
        <v>0</v>
      </c>
      <c r="M153" s="200"/>
      <c r="N153" s="202">
        <f>ROUND($L$153*$K$153,2)</f>
        <v>0</v>
      </c>
      <c r="O153" s="200"/>
      <c r="P153" s="200"/>
      <c r="Q153" s="200"/>
      <c r="R153" s="23"/>
      <c r="T153" s="127"/>
      <c r="U153" s="29" t="s">
        <v>43</v>
      </c>
      <c r="V153" s="128">
        <v>0.41</v>
      </c>
      <c r="W153" s="128">
        <f>$V$153*$K$153</f>
        <v>19.126499999999997</v>
      </c>
      <c r="X153" s="128">
        <v>0.08936</v>
      </c>
      <c r="Y153" s="128">
        <f>$X$153*$K$153</f>
        <v>4.168644</v>
      </c>
      <c r="Z153" s="128">
        <v>0</v>
      </c>
      <c r="AA153" s="129">
        <f>$Z$153*$K$153</f>
        <v>0</v>
      </c>
      <c r="AR153" s="6" t="s">
        <v>144</v>
      </c>
      <c r="AT153" s="6" t="s">
        <v>140</v>
      </c>
      <c r="AU153" s="6" t="s">
        <v>93</v>
      </c>
      <c r="AY153" s="6" t="s">
        <v>139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81">
        <f>ROUND($L$153*$K$153,2)</f>
        <v>0</v>
      </c>
      <c r="BL153" s="6" t="s">
        <v>144</v>
      </c>
    </row>
    <row r="154" spans="2:51" s="6" customFormat="1" ht="15.75" customHeight="1">
      <c r="B154" s="130"/>
      <c r="E154" s="131"/>
      <c r="F154" s="203" t="s">
        <v>196</v>
      </c>
      <c r="G154" s="204"/>
      <c r="H154" s="204"/>
      <c r="I154" s="204"/>
      <c r="K154" s="132">
        <v>46.65</v>
      </c>
      <c r="R154" s="133"/>
      <c r="T154" s="134"/>
      <c r="AA154" s="135"/>
      <c r="AT154" s="131" t="s">
        <v>146</v>
      </c>
      <c r="AU154" s="131" t="s">
        <v>93</v>
      </c>
      <c r="AV154" s="131" t="s">
        <v>93</v>
      </c>
      <c r="AW154" s="131" t="s">
        <v>101</v>
      </c>
      <c r="AX154" s="131" t="s">
        <v>21</v>
      </c>
      <c r="AY154" s="131" t="s">
        <v>139</v>
      </c>
    </row>
    <row r="155" spans="2:64" s="6" customFormat="1" ht="15.75" customHeight="1">
      <c r="B155" s="22"/>
      <c r="C155" s="123" t="s">
        <v>8</v>
      </c>
      <c r="D155" s="123" t="s">
        <v>140</v>
      </c>
      <c r="E155" s="124" t="s">
        <v>197</v>
      </c>
      <c r="F155" s="199" t="s">
        <v>198</v>
      </c>
      <c r="G155" s="200"/>
      <c r="H155" s="200"/>
      <c r="I155" s="200"/>
      <c r="J155" s="125" t="s">
        <v>172</v>
      </c>
      <c r="K155" s="126">
        <v>46.65</v>
      </c>
      <c r="L155" s="201">
        <v>0</v>
      </c>
      <c r="M155" s="200"/>
      <c r="N155" s="202">
        <f>ROUND($L$155*$K$155,2)</f>
        <v>0</v>
      </c>
      <c r="O155" s="200"/>
      <c r="P155" s="200"/>
      <c r="Q155" s="200"/>
      <c r="R155" s="23"/>
      <c r="T155" s="127"/>
      <c r="U155" s="29" t="s">
        <v>43</v>
      </c>
      <c r="V155" s="128">
        <v>0.109</v>
      </c>
      <c r="W155" s="128">
        <f>$V$155*$K$155</f>
        <v>5.084849999999999</v>
      </c>
      <c r="X155" s="128">
        <v>0.001</v>
      </c>
      <c r="Y155" s="128">
        <f>$X$155*$K$155</f>
        <v>0.04665</v>
      </c>
      <c r="Z155" s="128">
        <v>0</v>
      </c>
      <c r="AA155" s="129">
        <f>$Z$155*$K$155</f>
        <v>0</v>
      </c>
      <c r="AR155" s="6" t="s">
        <v>144</v>
      </c>
      <c r="AT155" s="6" t="s">
        <v>140</v>
      </c>
      <c r="AU155" s="6" t="s">
        <v>93</v>
      </c>
      <c r="AY155" s="6" t="s">
        <v>139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81">
        <f>ROUND($L$155*$K$155,2)</f>
        <v>0</v>
      </c>
      <c r="BL155" s="6" t="s">
        <v>144</v>
      </c>
    </row>
    <row r="156" spans="2:63" s="113" customFormat="1" ht="30.75" customHeight="1">
      <c r="B156" s="114"/>
      <c r="D156" s="122" t="s">
        <v>106</v>
      </c>
      <c r="N156" s="215">
        <f>$BK$156</f>
        <v>0</v>
      </c>
      <c r="O156" s="214"/>
      <c r="P156" s="214"/>
      <c r="Q156" s="214"/>
      <c r="R156" s="117"/>
      <c r="T156" s="118"/>
      <c r="W156" s="119">
        <f>$W$157+SUM($W$158:$W$169)</f>
        <v>94.34394800000001</v>
      </c>
      <c r="Y156" s="119">
        <f>$Y$157+SUM($Y$158:$Y$169)</f>
        <v>0</v>
      </c>
      <c r="AA156" s="120">
        <f>$AA$157+SUM($AA$158:$AA$169)</f>
        <v>7.6724</v>
      </c>
      <c r="AR156" s="116" t="s">
        <v>21</v>
      </c>
      <c r="AT156" s="116" t="s">
        <v>77</v>
      </c>
      <c r="AU156" s="116" t="s">
        <v>21</v>
      </c>
      <c r="AY156" s="116" t="s">
        <v>139</v>
      </c>
      <c r="BK156" s="121">
        <f>$BK$157+SUM($BK$158:$BK$169)</f>
        <v>0</v>
      </c>
    </row>
    <row r="157" spans="2:64" s="6" customFormat="1" ht="39" customHeight="1">
      <c r="B157" s="22"/>
      <c r="C157" s="123" t="s">
        <v>199</v>
      </c>
      <c r="D157" s="123" t="s">
        <v>140</v>
      </c>
      <c r="E157" s="124" t="s">
        <v>200</v>
      </c>
      <c r="F157" s="199" t="s">
        <v>201</v>
      </c>
      <c r="G157" s="200"/>
      <c r="H157" s="200"/>
      <c r="I157" s="200"/>
      <c r="J157" s="125" t="s">
        <v>172</v>
      </c>
      <c r="K157" s="126">
        <v>145.2</v>
      </c>
      <c r="L157" s="201">
        <v>0</v>
      </c>
      <c r="M157" s="200"/>
      <c r="N157" s="202">
        <f>ROUND($L$157*$K$157,2)</f>
        <v>0</v>
      </c>
      <c r="O157" s="200"/>
      <c r="P157" s="200"/>
      <c r="Q157" s="200"/>
      <c r="R157" s="23"/>
      <c r="T157" s="127"/>
      <c r="U157" s="29" t="s">
        <v>43</v>
      </c>
      <c r="V157" s="128">
        <v>0.16</v>
      </c>
      <c r="W157" s="128">
        <f>$V$157*$K$157</f>
        <v>23.232</v>
      </c>
      <c r="X157" s="128">
        <v>0</v>
      </c>
      <c r="Y157" s="128">
        <f>$X$157*$K$157</f>
        <v>0</v>
      </c>
      <c r="Z157" s="128">
        <v>0</v>
      </c>
      <c r="AA157" s="129">
        <f>$Z$157*$K$157</f>
        <v>0</v>
      </c>
      <c r="AR157" s="6" t="s">
        <v>144</v>
      </c>
      <c r="AT157" s="6" t="s">
        <v>140</v>
      </c>
      <c r="AU157" s="6" t="s">
        <v>93</v>
      </c>
      <c r="AY157" s="6" t="s">
        <v>139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ROUND($L$157*$K$157,2)</f>
        <v>0</v>
      </c>
      <c r="BL157" s="6" t="s">
        <v>144</v>
      </c>
    </row>
    <row r="158" spans="2:51" s="6" customFormat="1" ht="15.75" customHeight="1">
      <c r="B158" s="130"/>
      <c r="E158" s="131"/>
      <c r="F158" s="203" t="s">
        <v>202</v>
      </c>
      <c r="G158" s="204"/>
      <c r="H158" s="204"/>
      <c r="I158" s="204"/>
      <c r="K158" s="132">
        <v>145.2</v>
      </c>
      <c r="R158" s="133"/>
      <c r="T158" s="134"/>
      <c r="AA158" s="135"/>
      <c r="AT158" s="131" t="s">
        <v>146</v>
      </c>
      <c r="AU158" s="131" t="s">
        <v>93</v>
      </c>
      <c r="AV158" s="131" t="s">
        <v>93</v>
      </c>
      <c r="AW158" s="131" t="s">
        <v>101</v>
      </c>
      <c r="AX158" s="131" t="s">
        <v>21</v>
      </c>
      <c r="AY158" s="131" t="s">
        <v>139</v>
      </c>
    </row>
    <row r="159" spans="2:64" s="6" customFormat="1" ht="39" customHeight="1">
      <c r="B159" s="22"/>
      <c r="C159" s="123" t="s">
        <v>203</v>
      </c>
      <c r="D159" s="123" t="s">
        <v>140</v>
      </c>
      <c r="E159" s="124" t="s">
        <v>204</v>
      </c>
      <c r="F159" s="199" t="s">
        <v>205</v>
      </c>
      <c r="G159" s="200"/>
      <c r="H159" s="200"/>
      <c r="I159" s="200"/>
      <c r="J159" s="125" t="s">
        <v>172</v>
      </c>
      <c r="K159" s="126">
        <v>4356</v>
      </c>
      <c r="L159" s="201">
        <v>0</v>
      </c>
      <c r="M159" s="200"/>
      <c r="N159" s="202">
        <f>ROUND($L$159*$K$159,2)</f>
        <v>0</v>
      </c>
      <c r="O159" s="200"/>
      <c r="P159" s="200"/>
      <c r="Q159" s="200"/>
      <c r="R159" s="23"/>
      <c r="T159" s="127"/>
      <c r="U159" s="29" t="s">
        <v>43</v>
      </c>
      <c r="V159" s="128">
        <v>0</v>
      </c>
      <c r="W159" s="128">
        <f>$V$159*$K$159</f>
        <v>0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144</v>
      </c>
      <c r="AT159" s="6" t="s">
        <v>140</v>
      </c>
      <c r="AU159" s="6" t="s">
        <v>93</v>
      </c>
      <c r="AY159" s="6" t="s">
        <v>139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144</v>
      </c>
    </row>
    <row r="160" spans="2:51" s="6" customFormat="1" ht="15.75" customHeight="1">
      <c r="B160" s="130"/>
      <c r="E160" s="131"/>
      <c r="F160" s="203" t="s">
        <v>206</v>
      </c>
      <c r="G160" s="204"/>
      <c r="H160" s="204"/>
      <c r="I160" s="204"/>
      <c r="K160" s="132">
        <v>4356</v>
      </c>
      <c r="R160" s="133"/>
      <c r="T160" s="134"/>
      <c r="AA160" s="135"/>
      <c r="AT160" s="131" t="s">
        <v>146</v>
      </c>
      <c r="AU160" s="131" t="s">
        <v>93</v>
      </c>
      <c r="AV160" s="131" t="s">
        <v>93</v>
      </c>
      <c r="AW160" s="131" t="s">
        <v>101</v>
      </c>
      <c r="AX160" s="131" t="s">
        <v>21</v>
      </c>
      <c r="AY160" s="131" t="s">
        <v>139</v>
      </c>
    </row>
    <row r="161" spans="2:64" s="6" customFormat="1" ht="39" customHeight="1">
      <c r="B161" s="22"/>
      <c r="C161" s="123" t="s">
        <v>207</v>
      </c>
      <c r="D161" s="123" t="s">
        <v>140</v>
      </c>
      <c r="E161" s="124" t="s">
        <v>208</v>
      </c>
      <c r="F161" s="199" t="s">
        <v>209</v>
      </c>
      <c r="G161" s="200"/>
      <c r="H161" s="200"/>
      <c r="I161" s="200"/>
      <c r="J161" s="125" t="s">
        <v>172</v>
      </c>
      <c r="K161" s="126">
        <v>145.2</v>
      </c>
      <c r="L161" s="201">
        <v>0</v>
      </c>
      <c r="M161" s="200"/>
      <c r="N161" s="202">
        <f>ROUND($L$161*$K$161,2)</f>
        <v>0</v>
      </c>
      <c r="O161" s="200"/>
      <c r="P161" s="200"/>
      <c r="Q161" s="200"/>
      <c r="R161" s="23"/>
      <c r="T161" s="127"/>
      <c r="U161" s="29" t="s">
        <v>43</v>
      </c>
      <c r="V161" s="128">
        <v>0.1</v>
      </c>
      <c r="W161" s="128">
        <f>$V$161*$K$161</f>
        <v>14.52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144</v>
      </c>
      <c r="AT161" s="6" t="s">
        <v>140</v>
      </c>
      <c r="AU161" s="6" t="s">
        <v>93</v>
      </c>
      <c r="AY161" s="6" t="s">
        <v>139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21</v>
      </c>
      <c r="BK161" s="81">
        <f>ROUND($L$161*$K$161,2)</f>
        <v>0</v>
      </c>
      <c r="BL161" s="6" t="s">
        <v>144</v>
      </c>
    </row>
    <row r="162" spans="2:64" s="6" customFormat="1" ht="15.75" customHeight="1">
      <c r="B162" s="22"/>
      <c r="C162" s="123" t="s">
        <v>210</v>
      </c>
      <c r="D162" s="123" t="s">
        <v>140</v>
      </c>
      <c r="E162" s="124" t="s">
        <v>211</v>
      </c>
      <c r="F162" s="199" t="s">
        <v>212</v>
      </c>
      <c r="G162" s="200"/>
      <c r="H162" s="200"/>
      <c r="I162" s="200"/>
      <c r="J162" s="125" t="s">
        <v>172</v>
      </c>
      <c r="K162" s="126">
        <v>60</v>
      </c>
      <c r="L162" s="201">
        <v>0</v>
      </c>
      <c r="M162" s="200"/>
      <c r="N162" s="202">
        <f>ROUND($L$162*$K$162,2)</f>
        <v>0</v>
      </c>
      <c r="O162" s="200"/>
      <c r="P162" s="200"/>
      <c r="Q162" s="200"/>
      <c r="R162" s="23"/>
      <c r="T162" s="127"/>
      <c r="U162" s="29" t="s">
        <v>43</v>
      </c>
      <c r="V162" s="128">
        <v>0.139</v>
      </c>
      <c r="W162" s="128">
        <f>$V$162*$K$162</f>
        <v>8.34</v>
      </c>
      <c r="X162" s="128">
        <v>0</v>
      </c>
      <c r="Y162" s="128">
        <f>$X$162*$K$162</f>
        <v>0</v>
      </c>
      <c r="Z162" s="128">
        <v>0</v>
      </c>
      <c r="AA162" s="129">
        <f>$Z$162*$K$162</f>
        <v>0</v>
      </c>
      <c r="AR162" s="6" t="s">
        <v>144</v>
      </c>
      <c r="AT162" s="6" t="s">
        <v>140</v>
      </c>
      <c r="AU162" s="6" t="s">
        <v>93</v>
      </c>
      <c r="AY162" s="6" t="s">
        <v>139</v>
      </c>
      <c r="BE162" s="81">
        <f>IF($U$162="základní",$N$162,0)</f>
        <v>0</v>
      </c>
      <c r="BF162" s="81">
        <f>IF($U$162="snížená",$N$162,0)</f>
        <v>0</v>
      </c>
      <c r="BG162" s="81">
        <f>IF($U$162="zákl. přenesená",$N$162,0)</f>
        <v>0</v>
      </c>
      <c r="BH162" s="81">
        <f>IF($U$162="sníž. přenesená",$N$162,0)</f>
        <v>0</v>
      </c>
      <c r="BI162" s="81">
        <f>IF($U$162="nulová",$N$162,0)</f>
        <v>0</v>
      </c>
      <c r="BJ162" s="6" t="s">
        <v>21</v>
      </c>
      <c r="BK162" s="81">
        <f>ROUND($L$162*$K$162,2)</f>
        <v>0</v>
      </c>
      <c r="BL162" s="6" t="s">
        <v>144</v>
      </c>
    </row>
    <row r="163" spans="2:64" s="6" customFormat="1" ht="27" customHeight="1">
      <c r="B163" s="22"/>
      <c r="C163" s="123" t="s">
        <v>213</v>
      </c>
      <c r="D163" s="123" t="s">
        <v>140</v>
      </c>
      <c r="E163" s="124" t="s">
        <v>214</v>
      </c>
      <c r="F163" s="199" t="s">
        <v>215</v>
      </c>
      <c r="G163" s="200"/>
      <c r="H163" s="200"/>
      <c r="I163" s="200"/>
      <c r="J163" s="125" t="s">
        <v>172</v>
      </c>
      <c r="K163" s="126">
        <v>23.4</v>
      </c>
      <c r="L163" s="201">
        <v>0</v>
      </c>
      <c r="M163" s="200"/>
      <c r="N163" s="202">
        <f>ROUND($L$163*$K$163,2)</f>
        <v>0</v>
      </c>
      <c r="O163" s="200"/>
      <c r="P163" s="200"/>
      <c r="Q163" s="200"/>
      <c r="R163" s="23"/>
      <c r="T163" s="127"/>
      <c r="U163" s="29" t="s">
        <v>43</v>
      </c>
      <c r="V163" s="128">
        <v>0.782</v>
      </c>
      <c r="W163" s="128">
        <f>$V$163*$K$163</f>
        <v>18.2988</v>
      </c>
      <c r="X163" s="128">
        <v>0</v>
      </c>
      <c r="Y163" s="128">
        <f>$X$163*$K$163</f>
        <v>0</v>
      </c>
      <c r="Z163" s="128">
        <v>0.207</v>
      </c>
      <c r="AA163" s="129">
        <f>$Z$163*$K$163</f>
        <v>4.8438</v>
      </c>
      <c r="AR163" s="6" t="s">
        <v>144</v>
      </c>
      <c r="AT163" s="6" t="s">
        <v>140</v>
      </c>
      <c r="AU163" s="6" t="s">
        <v>93</v>
      </c>
      <c r="AY163" s="6" t="s">
        <v>139</v>
      </c>
      <c r="BE163" s="81">
        <f>IF($U$163="základní",$N$163,0)</f>
        <v>0</v>
      </c>
      <c r="BF163" s="81">
        <f>IF($U$163="snížená",$N$163,0)</f>
        <v>0</v>
      </c>
      <c r="BG163" s="81">
        <f>IF($U$163="zákl. přenesená",$N$163,0)</f>
        <v>0</v>
      </c>
      <c r="BH163" s="81">
        <f>IF($U$163="sníž. přenesená",$N$163,0)</f>
        <v>0</v>
      </c>
      <c r="BI163" s="81">
        <f>IF($U$163="nulová",$N$163,0)</f>
        <v>0</v>
      </c>
      <c r="BJ163" s="6" t="s">
        <v>21</v>
      </c>
      <c r="BK163" s="81">
        <f>ROUND($L$163*$K$163,2)</f>
        <v>0</v>
      </c>
      <c r="BL163" s="6" t="s">
        <v>144</v>
      </c>
    </row>
    <row r="164" spans="2:51" s="6" customFormat="1" ht="15.75" customHeight="1">
      <c r="B164" s="130"/>
      <c r="E164" s="131"/>
      <c r="F164" s="203" t="s">
        <v>173</v>
      </c>
      <c r="G164" s="204"/>
      <c r="H164" s="204"/>
      <c r="I164" s="204"/>
      <c r="K164" s="132">
        <v>23.4</v>
      </c>
      <c r="R164" s="133"/>
      <c r="T164" s="134"/>
      <c r="AA164" s="135"/>
      <c r="AT164" s="131" t="s">
        <v>146</v>
      </c>
      <c r="AU164" s="131" t="s">
        <v>93</v>
      </c>
      <c r="AV164" s="131" t="s">
        <v>93</v>
      </c>
      <c r="AW164" s="131" t="s">
        <v>101</v>
      </c>
      <c r="AX164" s="131" t="s">
        <v>21</v>
      </c>
      <c r="AY164" s="131" t="s">
        <v>139</v>
      </c>
    </row>
    <row r="165" spans="2:64" s="6" customFormat="1" ht="27" customHeight="1">
      <c r="B165" s="22"/>
      <c r="C165" s="123" t="s">
        <v>7</v>
      </c>
      <c r="D165" s="123" t="s">
        <v>140</v>
      </c>
      <c r="E165" s="124" t="s">
        <v>216</v>
      </c>
      <c r="F165" s="199" t="s">
        <v>217</v>
      </c>
      <c r="G165" s="200"/>
      <c r="H165" s="200"/>
      <c r="I165" s="200"/>
      <c r="J165" s="125" t="s">
        <v>167</v>
      </c>
      <c r="K165" s="126">
        <v>1.163</v>
      </c>
      <c r="L165" s="201">
        <v>0</v>
      </c>
      <c r="M165" s="200"/>
      <c r="N165" s="202">
        <f>ROUND($L$165*$K$165,2)</f>
        <v>0</v>
      </c>
      <c r="O165" s="200"/>
      <c r="P165" s="200"/>
      <c r="Q165" s="200"/>
      <c r="R165" s="23"/>
      <c r="T165" s="127"/>
      <c r="U165" s="29" t="s">
        <v>43</v>
      </c>
      <c r="V165" s="128">
        <v>12.744</v>
      </c>
      <c r="W165" s="128">
        <f>$V$165*$K$165</f>
        <v>14.821272</v>
      </c>
      <c r="X165" s="128">
        <v>0</v>
      </c>
      <c r="Y165" s="128">
        <f>$X$165*$K$165</f>
        <v>0</v>
      </c>
      <c r="Z165" s="128">
        <v>2.2</v>
      </c>
      <c r="AA165" s="129">
        <f>$Z$165*$K$165</f>
        <v>2.5586</v>
      </c>
      <c r="AR165" s="6" t="s">
        <v>144</v>
      </c>
      <c r="AT165" s="6" t="s">
        <v>140</v>
      </c>
      <c r="AU165" s="6" t="s">
        <v>93</v>
      </c>
      <c r="AY165" s="6" t="s">
        <v>139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21</v>
      </c>
      <c r="BK165" s="81">
        <f>ROUND($L$165*$K$165,2)</f>
        <v>0</v>
      </c>
      <c r="BL165" s="6" t="s">
        <v>144</v>
      </c>
    </row>
    <row r="166" spans="2:51" s="6" customFormat="1" ht="15.75" customHeight="1">
      <c r="B166" s="130"/>
      <c r="E166" s="131"/>
      <c r="F166" s="203" t="s">
        <v>218</v>
      </c>
      <c r="G166" s="204"/>
      <c r="H166" s="204"/>
      <c r="I166" s="204"/>
      <c r="K166" s="132">
        <v>1.163</v>
      </c>
      <c r="R166" s="133"/>
      <c r="T166" s="134"/>
      <c r="AA166" s="135"/>
      <c r="AT166" s="131" t="s">
        <v>146</v>
      </c>
      <c r="AU166" s="131" t="s">
        <v>93</v>
      </c>
      <c r="AV166" s="131" t="s">
        <v>93</v>
      </c>
      <c r="AW166" s="131" t="s">
        <v>101</v>
      </c>
      <c r="AX166" s="131" t="s">
        <v>78</v>
      </c>
      <c r="AY166" s="131" t="s">
        <v>139</v>
      </c>
    </row>
    <row r="167" spans="2:51" s="6" customFormat="1" ht="15.75" customHeight="1">
      <c r="B167" s="140"/>
      <c r="E167" s="141"/>
      <c r="F167" s="209" t="s">
        <v>219</v>
      </c>
      <c r="G167" s="210"/>
      <c r="H167" s="210"/>
      <c r="I167" s="210"/>
      <c r="K167" s="142">
        <v>1.163</v>
      </c>
      <c r="R167" s="143"/>
      <c r="T167" s="144"/>
      <c r="AA167" s="145"/>
      <c r="AT167" s="141" t="s">
        <v>146</v>
      </c>
      <c r="AU167" s="141" t="s">
        <v>93</v>
      </c>
      <c r="AV167" s="141" t="s">
        <v>144</v>
      </c>
      <c r="AW167" s="141" t="s">
        <v>101</v>
      </c>
      <c r="AX167" s="141" t="s">
        <v>21</v>
      </c>
      <c r="AY167" s="141" t="s">
        <v>139</v>
      </c>
    </row>
    <row r="168" spans="2:64" s="6" customFormat="1" ht="27" customHeight="1">
      <c r="B168" s="22"/>
      <c r="C168" s="123" t="s">
        <v>220</v>
      </c>
      <c r="D168" s="123" t="s">
        <v>140</v>
      </c>
      <c r="E168" s="124" t="s">
        <v>221</v>
      </c>
      <c r="F168" s="199" t="s">
        <v>222</v>
      </c>
      <c r="G168" s="200"/>
      <c r="H168" s="200"/>
      <c r="I168" s="200"/>
      <c r="J168" s="125" t="s">
        <v>188</v>
      </c>
      <c r="K168" s="126">
        <v>18</v>
      </c>
      <c r="L168" s="201">
        <v>0</v>
      </c>
      <c r="M168" s="200"/>
      <c r="N168" s="202">
        <f>ROUND($L$168*$K$168,2)</f>
        <v>0</v>
      </c>
      <c r="O168" s="200"/>
      <c r="P168" s="200"/>
      <c r="Q168" s="200"/>
      <c r="R168" s="23"/>
      <c r="T168" s="127"/>
      <c r="U168" s="29" t="s">
        <v>43</v>
      </c>
      <c r="V168" s="128">
        <v>0.542</v>
      </c>
      <c r="W168" s="128">
        <f>$V$168*$K$168</f>
        <v>9.756</v>
      </c>
      <c r="X168" s="128">
        <v>0</v>
      </c>
      <c r="Y168" s="128">
        <f>$X$168*$K$168</f>
        <v>0</v>
      </c>
      <c r="Z168" s="128">
        <v>0.015</v>
      </c>
      <c r="AA168" s="129">
        <f>$Z$168*$K$168</f>
        <v>0.27</v>
      </c>
      <c r="AR168" s="6" t="s">
        <v>144</v>
      </c>
      <c r="AT168" s="6" t="s">
        <v>140</v>
      </c>
      <c r="AU168" s="6" t="s">
        <v>93</v>
      </c>
      <c r="AY168" s="6" t="s">
        <v>139</v>
      </c>
      <c r="BE168" s="81">
        <f>IF($U$168="základní",$N$168,0)</f>
        <v>0</v>
      </c>
      <c r="BF168" s="81">
        <f>IF($U$168="snížená",$N$168,0)</f>
        <v>0</v>
      </c>
      <c r="BG168" s="81">
        <f>IF($U$168="zákl. přenesená",$N$168,0)</f>
        <v>0</v>
      </c>
      <c r="BH168" s="81">
        <f>IF($U$168="sníž. přenesená",$N$168,0)</f>
        <v>0</v>
      </c>
      <c r="BI168" s="81">
        <f>IF($U$168="nulová",$N$168,0)</f>
        <v>0</v>
      </c>
      <c r="BJ168" s="6" t="s">
        <v>21</v>
      </c>
      <c r="BK168" s="81">
        <f>ROUND($L$168*$K$168,2)</f>
        <v>0</v>
      </c>
      <c r="BL168" s="6" t="s">
        <v>144</v>
      </c>
    </row>
    <row r="169" spans="2:63" s="113" customFormat="1" ht="23.25" customHeight="1">
      <c r="B169" s="114"/>
      <c r="D169" s="122" t="s">
        <v>107</v>
      </c>
      <c r="N169" s="215">
        <f>$BK$169</f>
        <v>0</v>
      </c>
      <c r="O169" s="214"/>
      <c r="P169" s="214"/>
      <c r="Q169" s="214"/>
      <c r="R169" s="117"/>
      <c r="T169" s="118"/>
      <c r="W169" s="119">
        <f>SUM($W$170:$W$174)</f>
        <v>5.375876</v>
      </c>
      <c r="Y169" s="119">
        <f>SUM($Y$170:$Y$174)</f>
        <v>0</v>
      </c>
      <c r="AA169" s="120">
        <f>SUM($AA$170:$AA$174)</f>
        <v>0</v>
      </c>
      <c r="AR169" s="116" t="s">
        <v>21</v>
      </c>
      <c r="AT169" s="116" t="s">
        <v>77</v>
      </c>
      <c r="AU169" s="116" t="s">
        <v>93</v>
      </c>
      <c r="AY169" s="116" t="s">
        <v>139</v>
      </c>
      <c r="BK169" s="121">
        <f>SUM($BK$170:$BK$174)</f>
        <v>0</v>
      </c>
    </row>
    <row r="170" spans="2:64" s="6" customFormat="1" ht="27" customHeight="1">
      <c r="B170" s="22"/>
      <c r="C170" s="123" t="s">
        <v>223</v>
      </c>
      <c r="D170" s="123" t="s">
        <v>140</v>
      </c>
      <c r="E170" s="124" t="s">
        <v>224</v>
      </c>
      <c r="F170" s="199" t="s">
        <v>225</v>
      </c>
      <c r="G170" s="200"/>
      <c r="H170" s="200"/>
      <c r="I170" s="200"/>
      <c r="J170" s="125" t="s">
        <v>143</v>
      </c>
      <c r="K170" s="126">
        <v>8.44</v>
      </c>
      <c r="L170" s="201">
        <v>0</v>
      </c>
      <c r="M170" s="200"/>
      <c r="N170" s="202">
        <f>ROUND($L$170*$K$170,2)</f>
        <v>0</v>
      </c>
      <c r="O170" s="200"/>
      <c r="P170" s="200"/>
      <c r="Q170" s="200"/>
      <c r="R170" s="23"/>
      <c r="T170" s="127"/>
      <c r="U170" s="29" t="s">
        <v>43</v>
      </c>
      <c r="V170" s="128">
        <v>0.125</v>
      </c>
      <c r="W170" s="128">
        <f>$V$170*$K$170</f>
        <v>1.055</v>
      </c>
      <c r="X170" s="128">
        <v>0</v>
      </c>
      <c r="Y170" s="128">
        <f>$X$170*$K$170</f>
        <v>0</v>
      </c>
      <c r="Z170" s="128">
        <v>0</v>
      </c>
      <c r="AA170" s="129">
        <f>$Z$170*$K$170</f>
        <v>0</v>
      </c>
      <c r="AR170" s="6" t="s">
        <v>144</v>
      </c>
      <c r="AT170" s="6" t="s">
        <v>140</v>
      </c>
      <c r="AU170" s="6" t="s">
        <v>152</v>
      </c>
      <c r="AY170" s="6" t="s">
        <v>139</v>
      </c>
      <c r="BE170" s="81">
        <f>IF($U$170="základní",$N$170,0)</f>
        <v>0</v>
      </c>
      <c r="BF170" s="81">
        <f>IF($U$170="snížená",$N$170,0)</f>
        <v>0</v>
      </c>
      <c r="BG170" s="81">
        <f>IF($U$170="zákl. přenesená",$N$170,0)</f>
        <v>0</v>
      </c>
      <c r="BH170" s="81">
        <f>IF($U$170="sníž. přenesená",$N$170,0)</f>
        <v>0</v>
      </c>
      <c r="BI170" s="81">
        <f>IF($U$170="nulová",$N$170,0)</f>
        <v>0</v>
      </c>
      <c r="BJ170" s="6" t="s">
        <v>21</v>
      </c>
      <c r="BK170" s="81">
        <f>ROUND($L$170*$K$170,2)</f>
        <v>0</v>
      </c>
      <c r="BL170" s="6" t="s">
        <v>144</v>
      </c>
    </row>
    <row r="171" spans="2:64" s="6" customFormat="1" ht="27" customHeight="1">
      <c r="B171" s="22"/>
      <c r="C171" s="123" t="s">
        <v>226</v>
      </c>
      <c r="D171" s="123" t="s">
        <v>140</v>
      </c>
      <c r="E171" s="124" t="s">
        <v>227</v>
      </c>
      <c r="F171" s="199" t="s">
        <v>228</v>
      </c>
      <c r="G171" s="200"/>
      <c r="H171" s="200"/>
      <c r="I171" s="200"/>
      <c r="J171" s="125" t="s">
        <v>143</v>
      </c>
      <c r="K171" s="126">
        <v>160.36</v>
      </c>
      <c r="L171" s="201">
        <v>0</v>
      </c>
      <c r="M171" s="200"/>
      <c r="N171" s="202">
        <f>ROUND($L$171*$K$171,2)</f>
        <v>0</v>
      </c>
      <c r="O171" s="200"/>
      <c r="P171" s="200"/>
      <c r="Q171" s="200"/>
      <c r="R171" s="23"/>
      <c r="T171" s="127"/>
      <c r="U171" s="29" t="s">
        <v>43</v>
      </c>
      <c r="V171" s="128">
        <v>0.006</v>
      </c>
      <c r="W171" s="128">
        <f>$V$171*$K$171</f>
        <v>0.9621600000000001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144</v>
      </c>
      <c r="AT171" s="6" t="s">
        <v>140</v>
      </c>
      <c r="AU171" s="6" t="s">
        <v>152</v>
      </c>
      <c r="AY171" s="6" t="s">
        <v>139</v>
      </c>
      <c r="BE171" s="81">
        <f>IF($U$171="základní",$N$171,0)</f>
        <v>0</v>
      </c>
      <c r="BF171" s="81">
        <f>IF($U$171="snížená",$N$171,0)</f>
        <v>0</v>
      </c>
      <c r="BG171" s="81">
        <f>IF($U$171="zákl. přenesená",$N$171,0)</f>
        <v>0</v>
      </c>
      <c r="BH171" s="81">
        <f>IF($U$171="sníž. přenesená",$N$171,0)</f>
        <v>0</v>
      </c>
      <c r="BI171" s="81">
        <f>IF($U$171="nulová",$N$171,0)</f>
        <v>0</v>
      </c>
      <c r="BJ171" s="6" t="s">
        <v>21</v>
      </c>
      <c r="BK171" s="81">
        <f>ROUND($L$171*$K$171,2)</f>
        <v>0</v>
      </c>
      <c r="BL171" s="6" t="s">
        <v>144</v>
      </c>
    </row>
    <row r="172" spans="2:51" s="6" customFormat="1" ht="15.75" customHeight="1">
      <c r="B172" s="130"/>
      <c r="E172" s="131"/>
      <c r="F172" s="203" t="s">
        <v>229</v>
      </c>
      <c r="G172" s="204"/>
      <c r="H172" s="204"/>
      <c r="I172" s="204"/>
      <c r="K172" s="132">
        <v>160.36</v>
      </c>
      <c r="R172" s="133"/>
      <c r="T172" s="134"/>
      <c r="AA172" s="135"/>
      <c r="AT172" s="131" t="s">
        <v>146</v>
      </c>
      <c r="AU172" s="131" t="s">
        <v>152</v>
      </c>
      <c r="AV172" s="131" t="s">
        <v>93</v>
      </c>
      <c r="AW172" s="131" t="s">
        <v>101</v>
      </c>
      <c r="AX172" s="131" t="s">
        <v>21</v>
      </c>
      <c r="AY172" s="131" t="s">
        <v>139</v>
      </c>
    </row>
    <row r="173" spans="2:64" s="6" customFormat="1" ht="27" customHeight="1">
      <c r="B173" s="22"/>
      <c r="C173" s="123" t="s">
        <v>230</v>
      </c>
      <c r="D173" s="123" t="s">
        <v>140</v>
      </c>
      <c r="E173" s="124" t="s">
        <v>231</v>
      </c>
      <c r="F173" s="199" t="s">
        <v>232</v>
      </c>
      <c r="G173" s="200"/>
      <c r="H173" s="200"/>
      <c r="I173" s="200"/>
      <c r="J173" s="125" t="s">
        <v>143</v>
      </c>
      <c r="K173" s="126">
        <v>8.44</v>
      </c>
      <c r="L173" s="201">
        <v>0</v>
      </c>
      <c r="M173" s="200"/>
      <c r="N173" s="202">
        <f>ROUND($L$173*$K$173,2)</f>
        <v>0</v>
      </c>
      <c r="O173" s="200"/>
      <c r="P173" s="200"/>
      <c r="Q173" s="200"/>
      <c r="R173" s="23"/>
      <c r="T173" s="127"/>
      <c r="U173" s="29" t="s">
        <v>43</v>
      </c>
      <c r="V173" s="128">
        <v>0</v>
      </c>
      <c r="W173" s="128">
        <f>$V$173*$K$173</f>
        <v>0</v>
      </c>
      <c r="X173" s="128">
        <v>0</v>
      </c>
      <c r="Y173" s="128">
        <f>$X$173*$K$173</f>
        <v>0</v>
      </c>
      <c r="Z173" s="128">
        <v>0</v>
      </c>
      <c r="AA173" s="129">
        <f>$Z$173*$K$173</f>
        <v>0</v>
      </c>
      <c r="AR173" s="6" t="s">
        <v>144</v>
      </c>
      <c r="AT173" s="6" t="s">
        <v>140</v>
      </c>
      <c r="AU173" s="6" t="s">
        <v>152</v>
      </c>
      <c r="AY173" s="6" t="s">
        <v>139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21</v>
      </c>
      <c r="BK173" s="81">
        <f>ROUND($L$173*$K$173,2)</f>
        <v>0</v>
      </c>
      <c r="BL173" s="6" t="s">
        <v>144</v>
      </c>
    </row>
    <row r="174" spans="2:64" s="6" customFormat="1" ht="15.75" customHeight="1">
      <c r="B174" s="22"/>
      <c r="C174" s="123" t="s">
        <v>233</v>
      </c>
      <c r="D174" s="123" t="s">
        <v>140</v>
      </c>
      <c r="E174" s="124" t="s">
        <v>234</v>
      </c>
      <c r="F174" s="199" t="s">
        <v>235</v>
      </c>
      <c r="G174" s="200"/>
      <c r="H174" s="200"/>
      <c r="I174" s="200"/>
      <c r="J174" s="125" t="s">
        <v>143</v>
      </c>
      <c r="K174" s="126">
        <v>10.562</v>
      </c>
      <c r="L174" s="201">
        <v>0</v>
      </c>
      <c r="M174" s="200"/>
      <c r="N174" s="202">
        <f>ROUND($L$174*$K$174,2)</f>
        <v>0</v>
      </c>
      <c r="O174" s="200"/>
      <c r="P174" s="200"/>
      <c r="Q174" s="200"/>
      <c r="R174" s="23"/>
      <c r="T174" s="127"/>
      <c r="U174" s="29" t="s">
        <v>43</v>
      </c>
      <c r="V174" s="128">
        <v>0.318</v>
      </c>
      <c r="W174" s="128">
        <f>$V$174*$K$174</f>
        <v>3.358716</v>
      </c>
      <c r="X174" s="128">
        <v>0</v>
      </c>
      <c r="Y174" s="128">
        <f>$X$174*$K$174</f>
        <v>0</v>
      </c>
      <c r="Z174" s="128">
        <v>0</v>
      </c>
      <c r="AA174" s="129">
        <f>$Z$174*$K$174</f>
        <v>0</v>
      </c>
      <c r="AR174" s="6" t="s">
        <v>144</v>
      </c>
      <c r="AT174" s="6" t="s">
        <v>140</v>
      </c>
      <c r="AU174" s="6" t="s">
        <v>152</v>
      </c>
      <c r="AY174" s="6" t="s">
        <v>139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21</v>
      </c>
      <c r="BK174" s="81">
        <f>ROUND($L$174*$K$174,2)</f>
        <v>0</v>
      </c>
      <c r="BL174" s="6" t="s">
        <v>144</v>
      </c>
    </row>
    <row r="175" spans="2:63" s="113" customFormat="1" ht="37.5" customHeight="1">
      <c r="B175" s="114"/>
      <c r="D175" s="115" t="s">
        <v>108</v>
      </c>
      <c r="N175" s="195">
        <f>$BK$175</f>
        <v>0</v>
      </c>
      <c r="O175" s="214"/>
      <c r="P175" s="214"/>
      <c r="Q175" s="214"/>
      <c r="R175" s="117"/>
      <c r="T175" s="118"/>
      <c r="W175" s="119">
        <f>$W$176+$W$185+$W$190+$W$206+$W$217</f>
        <v>169.13467799999998</v>
      </c>
      <c r="Y175" s="119">
        <f>$Y$176+$Y$185+$Y$190+$Y$206+$Y$217</f>
        <v>2.2597162199999996</v>
      </c>
      <c r="AA175" s="120">
        <f>$AA$176+$AA$185+$AA$190+$AA$206+$AA$217</f>
        <v>0.767694</v>
      </c>
      <c r="AR175" s="116" t="s">
        <v>93</v>
      </c>
      <c r="AT175" s="116" t="s">
        <v>77</v>
      </c>
      <c r="AU175" s="116" t="s">
        <v>78</v>
      </c>
      <c r="AY175" s="116" t="s">
        <v>139</v>
      </c>
      <c r="BK175" s="121">
        <f>$BK$176+$BK$185+$BK$190+$BK$206+$BK$217</f>
        <v>0</v>
      </c>
    </row>
    <row r="176" spans="2:63" s="113" customFormat="1" ht="21" customHeight="1">
      <c r="B176" s="114"/>
      <c r="D176" s="122" t="s">
        <v>109</v>
      </c>
      <c r="N176" s="215">
        <f>$BK$176</f>
        <v>0</v>
      </c>
      <c r="O176" s="214"/>
      <c r="P176" s="214"/>
      <c r="Q176" s="214"/>
      <c r="R176" s="117"/>
      <c r="T176" s="118"/>
      <c r="W176" s="119">
        <f>SUM($W$177:$W$184)</f>
        <v>9.6111</v>
      </c>
      <c r="Y176" s="119">
        <f>SUM($Y$177:$Y$184)</f>
        <v>0.27710999999999997</v>
      </c>
      <c r="AA176" s="120">
        <f>SUM($AA$177:$AA$184)</f>
        <v>0</v>
      </c>
      <c r="AR176" s="116" t="s">
        <v>93</v>
      </c>
      <c r="AT176" s="116" t="s">
        <v>77</v>
      </c>
      <c r="AU176" s="116" t="s">
        <v>21</v>
      </c>
      <c r="AY176" s="116" t="s">
        <v>139</v>
      </c>
      <c r="BK176" s="121">
        <f>SUM($BK$177:$BK$184)</f>
        <v>0</v>
      </c>
    </row>
    <row r="177" spans="2:64" s="6" customFormat="1" ht="27" customHeight="1">
      <c r="B177" s="22"/>
      <c r="C177" s="123" t="s">
        <v>236</v>
      </c>
      <c r="D177" s="123" t="s">
        <v>140</v>
      </c>
      <c r="E177" s="124" t="s">
        <v>237</v>
      </c>
      <c r="F177" s="199" t="s">
        <v>238</v>
      </c>
      <c r="G177" s="200"/>
      <c r="H177" s="200"/>
      <c r="I177" s="200"/>
      <c r="J177" s="125" t="s">
        <v>172</v>
      </c>
      <c r="K177" s="126">
        <v>46.65</v>
      </c>
      <c r="L177" s="201">
        <v>0</v>
      </c>
      <c r="M177" s="200"/>
      <c r="N177" s="202">
        <f>ROUND($L$177*$K$177,2)</f>
        <v>0</v>
      </c>
      <c r="O177" s="200"/>
      <c r="P177" s="200"/>
      <c r="Q177" s="200"/>
      <c r="R177" s="23"/>
      <c r="T177" s="127"/>
      <c r="U177" s="29" t="s">
        <v>43</v>
      </c>
      <c r="V177" s="128">
        <v>0.15</v>
      </c>
      <c r="W177" s="128">
        <f>$V$177*$K$177</f>
        <v>6.9975</v>
      </c>
      <c r="X177" s="128">
        <v>0.004</v>
      </c>
      <c r="Y177" s="128">
        <f>$X$177*$K$177</f>
        <v>0.1866</v>
      </c>
      <c r="Z177" s="128">
        <v>0</v>
      </c>
      <c r="AA177" s="129">
        <f>$Z$177*$K$177</f>
        <v>0</v>
      </c>
      <c r="AR177" s="6" t="s">
        <v>199</v>
      </c>
      <c r="AT177" s="6" t="s">
        <v>140</v>
      </c>
      <c r="AU177" s="6" t="s">
        <v>93</v>
      </c>
      <c r="AY177" s="6" t="s">
        <v>139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21</v>
      </c>
      <c r="BK177" s="81">
        <f>ROUND($L$177*$K$177,2)</f>
        <v>0</v>
      </c>
      <c r="BL177" s="6" t="s">
        <v>199</v>
      </c>
    </row>
    <row r="178" spans="2:51" s="6" customFormat="1" ht="15.75" customHeight="1">
      <c r="B178" s="130"/>
      <c r="E178" s="131"/>
      <c r="F178" s="203" t="s">
        <v>239</v>
      </c>
      <c r="G178" s="204"/>
      <c r="H178" s="204"/>
      <c r="I178" s="204"/>
      <c r="K178" s="132">
        <v>46.65</v>
      </c>
      <c r="R178" s="133"/>
      <c r="T178" s="134"/>
      <c r="AA178" s="135"/>
      <c r="AT178" s="131" t="s">
        <v>146</v>
      </c>
      <c r="AU178" s="131" t="s">
        <v>93</v>
      </c>
      <c r="AV178" s="131" t="s">
        <v>93</v>
      </c>
      <c r="AW178" s="131" t="s">
        <v>101</v>
      </c>
      <c r="AX178" s="131" t="s">
        <v>21</v>
      </c>
      <c r="AY178" s="131" t="s">
        <v>139</v>
      </c>
    </row>
    <row r="179" spans="2:64" s="6" customFormat="1" ht="27" customHeight="1">
      <c r="B179" s="22"/>
      <c r="C179" s="123" t="s">
        <v>240</v>
      </c>
      <c r="D179" s="123" t="s">
        <v>140</v>
      </c>
      <c r="E179" s="124" t="s">
        <v>241</v>
      </c>
      <c r="F179" s="199" t="s">
        <v>242</v>
      </c>
      <c r="G179" s="200"/>
      <c r="H179" s="200"/>
      <c r="I179" s="200"/>
      <c r="J179" s="125" t="s">
        <v>172</v>
      </c>
      <c r="K179" s="126">
        <v>5.19</v>
      </c>
      <c r="L179" s="201">
        <v>0</v>
      </c>
      <c r="M179" s="200"/>
      <c r="N179" s="202">
        <f>ROUND($L$179*$K$179,2)</f>
        <v>0</v>
      </c>
      <c r="O179" s="200"/>
      <c r="P179" s="200"/>
      <c r="Q179" s="200"/>
      <c r="R179" s="23"/>
      <c r="T179" s="127"/>
      <c r="U179" s="29" t="s">
        <v>43</v>
      </c>
      <c r="V179" s="128">
        <v>0.19</v>
      </c>
      <c r="W179" s="128">
        <f>$V$179*$K$179</f>
        <v>0.9861000000000001</v>
      </c>
      <c r="X179" s="128">
        <v>0.004</v>
      </c>
      <c r="Y179" s="128">
        <f>$X$179*$K$179</f>
        <v>0.02076</v>
      </c>
      <c r="Z179" s="128">
        <v>0</v>
      </c>
      <c r="AA179" s="129">
        <f>$Z$179*$K$179</f>
        <v>0</v>
      </c>
      <c r="AR179" s="6" t="s">
        <v>199</v>
      </c>
      <c r="AT179" s="6" t="s">
        <v>140</v>
      </c>
      <c r="AU179" s="6" t="s">
        <v>93</v>
      </c>
      <c r="AY179" s="6" t="s">
        <v>139</v>
      </c>
      <c r="BE179" s="81">
        <f>IF($U$179="základní",$N$179,0)</f>
        <v>0</v>
      </c>
      <c r="BF179" s="81">
        <f>IF($U$179="snížená",$N$179,0)</f>
        <v>0</v>
      </c>
      <c r="BG179" s="81">
        <f>IF($U$179="zákl. přenesená",$N$179,0)</f>
        <v>0</v>
      </c>
      <c r="BH179" s="81">
        <f>IF($U$179="sníž. přenesená",$N$179,0)</f>
        <v>0</v>
      </c>
      <c r="BI179" s="81">
        <f>IF($U$179="nulová",$N$179,0)</f>
        <v>0</v>
      </c>
      <c r="BJ179" s="6" t="s">
        <v>21</v>
      </c>
      <c r="BK179" s="81">
        <f>ROUND($L$179*$K$179,2)</f>
        <v>0</v>
      </c>
      <c r="BL179" s="6" t="s">
        <v>199</v>
      </c>
    </row>
    <row r="180" spans="2:51" s="6" customFormat="1" ht="15.75" customHeight="1">
      <c r="B180" s="130"/>
      <c r="E180" s="131"/>
      <c r="F180" s="203" t="s">
        <v>243</v>
      </c>
      <c r="G180" s="204"/>
      <c r="H180" s="204"/>
      <c r="I180" s="204"/>
      <c r="K180" s="132">
        <v>5.19</v>
      </c>
      <c r="R180" s="133"/>
      <c r="T180" s="134"/>
      <c r="AA180" s="135"/>
      <c r="AT180" s="131" t="s">
        <v>146</v>
      </c>
      <c r="AU180" s="131" t="s">
        <v>93</v>
      </c>
      <c r="AV180" s="131" t="s">
        <v>93</v>
      </c>
      <c r="AW180" s="131" t="s">
        <v>101</v>
      </c>
      <c r="AX180" s="131" t="s">
        <v>21</v>
      </c>
      <c r="AY180" s="131" t="s">
        <v>139</v>
      </c>
    </row>
    <row r="181" spans="2:64" s="6" customFormat="1" ht="27" customHeight="1">
      <c r="B181" s="22"/>
      <c r="C181" s="123" t="s">
        <v>244</v>
      </c>
      <c r="D181" s="123" t="s">
        <v>140</v>
      </c>
      <c r="E181" s="124" t="s">
        <v>245</v>
      </c>
      <c r="F181" s="199" t="s">
        <v>246</v>
      </c>
      <c r="G181" s="200"/>
      <c r="H181" s="200"/>
      <c r="I181" s="200"/>
      <c r="J181" s="125" t="s">
        <v>172</v>
      </c>
      <c r="K181" s="126">
        <v>23.25</v>
      </c>
      <c r="L181" s="201">
        <v>0</v>
      </c>
      <c r="M181" s="200"/>
      <c r="N181" s="202">
        <f>ROUND($L$181*$K$181,2)</f>
        <v>0</v>
      </c>
      <c r="O181" s="200"/>
      <c r="P181" s="200"/>
      <c r="Q181" s="200"/>
      <c r="R181" s="23"/>
      <c r="T181" s="127"/>
      <c r="U181" s="29" t="s">
        <v>43</v>
      </c>
      <c r="V181" s="128">
        <v>0.07</v>
      </c>
      <c r="W181" s="128">
        <f>$V$181*$K$181</f>
        <v>1.6275000000000002</v>
      </c>
      <c r="X181" s="128">
        <v>0</v>
      </c>
      <c r="Y181" s="128">
        <f>$X$181*$K$181</f>
        <v>0</v>
      </c>
      <c r="Z181" s="128">
        <v>0</v>
      </c>
      <c r="AA181" s="129">
        <f>$Z$181*$K$181</f>
        <v>0</v>
      </c>
      <c r="AR181" s="6" t="s">
        <v>199</v>
      </c>
      <c r="AT181" s="6" t="s">
        <v>140</v>
      </c>
      <c r="AU181" s="6" t="s">
        <v>93</v>
      </c>
      <c r="AY181" s="6" t="s">
        <v>139</v>
      </c>
      <c r="BE181" s="81">
        <f>IF($U$181="základní",$N$181,0)</f>
        <v>0</v>
      </c>
      <c r="BF181" s="81">
        <f>IF($U$181="snížená",$N$181,0)</f>
        <v>0</v>
      </c>
      <c r="BG181" s="81">
        <f>IF($U$181="zákl. přenesená",$N$181,0)</f>
        <v>0</v>
      </c>
      <c r="BH181" s="81">
        <f>IF($U$181="sníž. přenesená",$N$181,0)</f>
        <v>0</v>
      </c>
      <c r="BI181" s="81">
        <f>IF($U$181="nulová",$N$181,0)</f>
        <v>0</v>
      </c>
      <c r="BJ181" s="6" t="s">
        <v>21</v>
      </c>
      <c r="BK181" s="81">
        <f>ROUND($L$181*$K$181,2)</f>
        <v>0</v>
      </c>
      <c r="BL181" s="6" t="s">
        <v>199</v>
      </c>
    </row>
    <row r="182" spans="2:51" s="6" customFormat="1" ht="15.75" customHeight="1">
      <c r="B182" s="130"/>
      <c r="E182" s="131"/>
      <c r="F182" s="203" t="s">
        <v>247</v>
      </c>
      <c r="G182" s="204"/>
      <c r="H182" s="204"/>
      <c r="I182" s="204"/>
      <c r="K182" s="132">
        <v>23.25</v>
      </c>
      <c r="R182" s="133"/>
      <c r="T182" s="134"/>
      <c r="AA182" s="135"/>
      <c r="AT182" s="131" t="s">
        <v>146</v>
      </c>
      <c r="AU182" s="131" t="s">
        <v>93</v>
      </c>
      <c r="AV182" s="131" t="s">
        <v>93</v>
      </c>
      <c r="AW182" s="131" t="s">
        <v>101</v>
      </c>
      <c r="AX182" s="131" t="s">
        <v>21</v>
      </c>
      <c r="AY182" s="131" t="s">
        <v>139</v>
      </c>
    </row>
    <row r="183" spans="2:64" s="6" customFormat="1" ht="27" customHeight="1">
      <c r="B183" s="22"/>
      <c r="C183" s="136" t="s">
        <v>248</v>
      </c>
      <c r="D183" s="136" t="s">
        <v>147</v>
      </c>
      <c r="E183" s="137" t="s">
        <v>249</v>
      </c>
      <c r="F183" s="205" t="s">
        <v>250</v>
      </c>
      <c r="G183" s="206"/>
      <c r="H183" s="206"/>
      <c r="I183" s="206"/>
      <c r="J183" s="138" t="s">
        <v>251</v>
      </c>
      <c r="K183" s="139">
        <v>69.75</v>
      </c>
      <c r="L183" s="207">
        <v>0</v>
      </c>
      <c r="M183" s="206"/>
      <c r="N183" s="208">
        <f>ROUND($L$183*$K$183,2)</f>
        <v>0</v>
      </c>
      <c r="O183" s="200"/>
      <c r="P183" s="200"/>
      <c r="Q183" s="200"/>
      <c r="R183" s="23"/>
      <c r="T183" s="127"/>
      <c r="U183" s="29" t="s">
        <v>43</v>
      </c>
      <c r="V183" s="128">
        <v>0</v>
      </c>
      <c r="W183" s="128">
        <f>$V$183*$K$183</f>
        <v>0</v>
      </c>
      <c r="X183" s="128">
        <v>0.001</v>
      </c>
      <c r="Y183" s="128">
        <f>$X$183*$K$183</f>
        <v>0.06975</v>
      </c>
      <c r="Z183" s="128">
        <v>0</v>
      </c>
      <c r="AA183" s="129">
        <f>$Z$183*$K$183</f>
        <v>0</v>
      </c>
      <c r="AR183" s="6" t="s">
        <v>252</v>
      </c>
      <c r="AT183" s="6" t="s">
        <v>147</v>
      </c>
      <c r="AU183" s="6" t="s">
        <v>93</v>
      </c>
      <c r="AY183" s="6" t="s">
        <v>139</v>
      </c>
      <c r="BE183" s="81">
        <f>IF($U$183="základní",$N$183,0)</f>
        <v>0</v>
      </c>
      <c r="BF183" s="81">
        <f>IF($U$183="snížená",$N$183,0)</f>
        <v>0</v>
      </c>
      <c r="BG183" s="81">
        <f>IF($U$183="zákl. přenesená",$N$183,0)</f>
        <v>0</v>
      </c>
      <c r="BH183" s="81">
        <f>IF($U$183="sníž. přenesená",$N$183,0)</f>
        <v>0</v>
      </c>
      <c r="BI183" s="81">
        <f>IF($U$183="nulová",$N$183,0)</f>
        <v>0</v>
      </c>
      <c r="BJ183" s="6" t="s">
        <v>21</v>
      </c>
      <c r="BK183" s="81">
        <f>ROUND($L$183*$K$183,2)</f>
        <v>0</v>
      </c>
      <c r="BL183" s="6" t="s">
        <v>199</v>
      </c>
    </row>
    <row r="184" spans="2:64" s="6" customFormat="1" ht="27" customHeight="1">
      <c r="B184" s="22"/>
      <c r="C184" s="123" t="s">
        <v>253</v>
      </c>
      <c r="D184" s="123" t="s">
        <v>140</v>
      </c>
      <c r="E184" s="124" t="s">
        <v>254</v>
      </c>
      <c r="F184" s="199" t="s">
        <v>255</v>
      </c>
      <c r="G184" s="200"/>
      <c r="H184" s="200"/>
      <c r="I184" s="200"/>
      <c r="J184" s="125" t="s">
        <v>256</v>
      </c>
      <c r="K184" s="146">
        <v>0</v>
      </c>
      <c r="L184" s="201">
        <v>0</v>
      </c>
      <c r="M184" s="200"/>
      <c r="N184" s="202">
        <f>ROUND($L$184*$K$184,2)</f>
        <v>0</v>
      </c>
      <c r="O184" s="200"/>
      <c r="P184" s="200"/>
      <c r="Q184" s="200"/>
      <c r="R184" s="23"/>
      <c r="T184" s="127"/>
      <c r="U184" s="29" t="s">
        <v>43</v>
      </c>
      <c r="V184" s="128">
        <v>0</v>
      </c>
      <c r="W184" s="128">
        <f>$V$184*$K$184</f>
        <v>0</v>
      </c>
      <c r="X184" s="128">
        <v>0</v>
      </c>
      <c r="Y184" s="128">
        <f>$X$184*$K$184</f>
        <v>0</v>
      </c>
      <c r="Z184" s="128">
        <v>0</v>
      </c>
      <c r="AA184" s="129">
        <f>$Z$184*$K$184</f>
        <v>0</v>
      </c>
      <c r="AR184" s="6" t="s">
        <v>199</v>
      </c>
      <c r="AT184" s="6" t="s">
        <v>140</v>
      </c>
      <c r="AU184" s="6" t="s">
        <v>93</v>
      </c>
      <c r="AY184" s="6" t="s">
        <v>139</v>
      </c>
      <c r="BE184" s="81">
        <f>IF($U$184="základní",$N$184,0)</f>
        <v>0</v>
      </c>
      <c r="BF184" s="81">
        <f>IF($U$184="snížená",$N$184,0)</f>
        <v>0</v>
      </c>
      <c r="BG184" s="81">
        <f>IF($U$184="zákl. přenesená",$N$184,0)</f>
        <v>0</v>
      </c>
      <c r="BH184" s="81">
        <f>IF($U$184="sníž. přenesená",$N$184,0)</f>
        <v>0</v>
      </c>
      <c r="BI184" s="81">
        <f>IF($U$184="nulová",$N$184,0)</f>
        <v>0</v>
      </c>
      <c r="BJ184" s="6" t="s">
        <v>21</v>
      </c>
      <c r="BK184" s="81">
        <f>ROUND($L$184*$K$184,2)</f>
        <v>0</v>
      </c>
      <c r="BL184" s="6" t="s">
        <v>199</v>
      </c>
    </row>
    <row r="185" spans="2:63" s="113" customFormat="1" ht="30.75" customHeight="1">
      <c r="B185" s="114"/>
      <c r="D185" s="122" t="s">
        <v>110</v>
      </c>
      <c r="N185" s="215">
        <f>$BK$185</f>
        <v>0</v>
      </c>
      <c r="O185" s="214"/>
      <c r="P185" s="214"/>
      <c r="Q185" s="214"/>
      <c r="R185" s="117"/>
      <c r="T185" s="118"/>
      <c r="W185" s="119">
        <f>SUM($W$186:$W$189)</f>
        <v>10.4256</v>
      </c>
      <c r="Y185" s="119">
        <f>SUM($Y$186:$Y$189)</f>
        <v>0.07722</v>
      </c>
      <c r="AA185" s="120">
        <f>SUM($AA$186:$AA$189)</f>
        <v>0.018894</v>
      </c>
      <c r="AR185" s="116" t="s">
        <v>93</v>
      </c>
      <c r="AT185" s="116" t="s">
        <v>77</v>
      </c>
      <c r="AU185" s="116" t="s">
        <v>21</v>
      </c>
      <c r="AY185" s="116" t="s">
        <v>139</v>
      </c>
      <c r="BK185" s="121">
        <f>SUM($BK$186:$BK$189)</f>
        <v>0</v>
      </c>
    </row>
    <row r="186" spans="2:64" s="6" customFormat="1" ht="27" customHeight="1">
      <c r="B186" s="22"/>
      <c r="C186" s="123" t="s">
        <v>252</v>
      </c>
      <c r="D186" s="123" t="s">
        <v>140</v>
      </c>
      <c r="E186" s="124" t="s">
        <v>257</v>
      </c>
      <c r="F186" s="199" t="s">
        <v>258</v>
      </c>
      <c r="G186" s="200"/>
      <c r="H186" s="200"/>
      <c r="I186" s="200"/>
      <c r="J186" s="125" t="s">
        <v>162</v>
      </c>
      <c r="K186" s="126">
        <v>20.1</v>
      </c>
      <c r="L186" s="201">
        <v>0</v>
      </c>
      <c r="M186" s="200"/>
      <c r="N186" s="202">
        <f>ROUND($L$186*$K$186,2)</f>
        <v>0</v>
      </c>
      <c r="O186" s="200"/>
      <c r="P186" s="200"/>
      <c r="Q186" s="200"/>
      <c r="R186" s="23"/>
      <c r="T186" s="127"/>
      <c r="U186" s="29" t="s">
        <v>43</v>
      </c>
      <c r="V186" s="128">
        <v>0.06</v>
      </c>
      <c r="W186" s="128">
        <f>$V$186*$K$186</f>
        <v>1.206</v>
      </c>
      <c r="X186" s="128">
        <v>0</v>
      </c>
      <c r="Y186" s="128">
        <f>$X$186*$K$186</f>
        <v>0</v>
      </c>
      <c r="Z186" s="128">
        <v>0.00094</v>
      </c>
      <c r="AA186" s="129">
        <f>$Z$186*$K$186</f>
        <v>0.018894</v>
      </c>
      <c r="AR186" s="6" t="s">
        <v>199</v>
      </c>
      <c r="AT186" s="6" t="s">
        <v>140</v>
      </c>
      <c r="AU186" s="6" t="s">
        <v>93</v>
      </c>
      <c r="AY186" s="6" t="s">
        <v>139</v>
      </c>
      <c r="BE186" s="81">
        <f>IF($U$186="základní",$N$186,0)</f>
        <v>0</v>
      </c>
      <c r="BF186" s="81">
        <f>IF($U$186="snížená",$N$186,0)</f>
        <v>0</v>
      </c>
      <c r="BG186" s="81">
        <f>IF($U$186="zákl. přenesená",$N$186,0)</f>
        <v>0</v>
      </c>
      <c r="BH186" s="81">
        <f>IF($U$186="sníž. přenesená",$N$186,0)</f>
        <v>0</v>
      </c>
      <c r="BI186" s="81">
        <f>IF($U$186="nulová",$N$186,0)</f>
        <v>0</v>
      </c>
      <c r="BJ186" s="6" t="s">
        <v>21</v>
      </c>
      <c r="BK186" s="81">
        <f>ROUND($L$186*$K$186,2)</f>
        <v>0</v>
      </c>
      <c r="BL186" s="6" t="s">
        <v>199</v>
      </c>
    </row>
    <row r="187" spans="2:64" s="6" customFormat="1" ht="15.75" customHeight="1">
      <c r="B187" s="22"/>
      <c r="C187" s="123" t="s">
        <v>259</v>
      </c>
      <c r="D187" s="123" t="s">
        <v>140</v>
      </c>
      <c r="E187" s="124" t="s">
        <v>260</v>
      </c>
      <c r="F187" s="199" t="s">
        <v>261</v>
      </c>
      <c r="G187" s="200"/>
      <c r="H187" s="200"/>
      <c r="I187" s="200"/>
      <c r="J187" s="125" t="s">
        <v>162</v>
      </c>
      <c r="K187" s="126">
        <v>46.8</v>
      </c>
      <c r="L187" s="201">
        <v>0</v>
      </c>
      <c r="M187" s="200"/>
      <c r="N187" s="202">
        <f>ROUND($L$187*$K$187,2)</f>
        <v>0</v>
      </c>
      <c r="O187" s="200"/>
      <c r="P187" s="200"/>
      <c r="Q187" s="200"/>
      <c r="R187" s="23"/>
      <c r="T187" s="127"/>
      <c r="U187" s="29" t="s">
        <v>43</v>
      </c>
      <c r="V187" s="128">
        <v>0.197</v>
      </c>
      <c r="W187" s="128">
        <f>$V$187*$K$187</f>
        <v>9.2196</v>
      </c>
      <c r="X187" s="128">
        <v>0.00165</v>
      </c>
      <c r="Y187" s="128">
        <f>$X$187*$K$187</f>
        <v>0.07722</v>
      </c>
      <c r="Z187" s="128">
        <v>0</v>
      </c>
      <c r="AA187" s="129">
        <f>$Z$187*$K$187</f>
        <v>0</v>
      </c>
      <c r="AR187" s="6" t="s">
        <v>199</v>
      </c>
      <c r="AT187" s="6" t="s">
        <v>140</v>
      </c>
      <c r="AU187" s="6" t="s">
        <v>93</v>
      </c>
      <c r="AY187" s="6" t="s">
        <v>139</v>
      </c>
      <c r="BE187" s="81">
        <f>IF($U$187="základní",$N$187,0)</f>
        <v>0</v>
      </c>
      <c r="BF187" s="81">
        <f>IF($U$187="snížená",$N$187,0)</f>
        <v>0</v>
      </c>
      <c r="BG187" s="81">
        <f>IF($U$187="zákl. přenesená",$N$187,0)</f>
        <v>0</v>
      </c>
      <c r="BH187" s="81">
        <f>IF($U$187="sníž. přenesená",$N$187,0)</f>
        <v>0</v>
      </c>
      <c r="BI187" s="81">
        <f>IF($U$187="nulová",$N$187,0)</f>
        <v>0</v>
      </c>
      <c r="BJ187" s="6" t="s">
        <v>21</v>
      </c>
      <c r="BK187" s="81">
        <f>ROUND($L$187*$K$187,2)</f>
        <v>0</v>
      </c>
      <c r="BL187" s="6" t="s">
        <v>199</v>
      </c>
    </row>
    <row r="188" spans="2:51" s="6" customFormat="1" ht="15.75" customHeight="1">
      <c r="B188" s="130"/>
      <c r="E188" s="131"/>
      <c r="F188" s="203" t="s">
        <v>262</v>
      </c>
      <c r="G188" s="204"/>
      <c r="H188" s="204"/>
      <c r="I188" s="204"/>
      <c r="K188" s="132">
        <v>46.8</v>
      </c>
      <c r="R188" s="133"/>
      <c r="T188" s="134"/>
      <c r="AA188" s="135"/>
      <c r="AT188" s="131" t="s">
        <v>146</v>
      </c>
      <c r="AU188" s="131" t="s">
        <v>93</v>
      </c>
      <c r="AV188" s="131" t="s">
        <v>93</v>
      </c>
      <c r="AW188" s="131" t="s">
        <v>101</v>
      </c>
      <c r="AX188" s="131" t="s">
        <v>21</v>
      </c>
      <c r="AY188" s="131" t="s">
        <v>139</v>
      </c>
    </row>
    <row r="189" spans="2:64" s="6" customFormat="1" ht="27" customHeight="1">
      <c r="B189" s="22"/>
      <c r="C189" s="123" t="s">
        <v>263</v>
      </c>
      <c r="D189" s="123" t="s">
        <v>140</v>
      </c>
      <c r="E189" s="124" t="s">
        <v>264</v>
      </c>
      <c r="F189" s="199" t="s">
        <v>265</v>
      </c>
      <c r="G189" s="200"/>
      <c r="H189" s="200"/>
      <c r="I189" s="200"/>
      <c r="J189" s="125" t="s">
        <v>256</v>
      </c>
      <c r="K189" s="146">
        <v>0</v>
      </c>
      <c r="L189" s="201">
        <v>0</v>
      </c>
      <c r="M189" s="200"/>
      <c r="N189" s="202">
        <f>ROUND($L$189*$K$189,2)</f>
        <v>0</v>
      </c>
      <c r="O189" s="200"/>
      <c r="P189" s="200"/>
      <c r="Q189" s="200"/>
      <c r="R189" s="23"/>
      <c r="T189" s="127"/>
      <c r="U189" s="29" t="s">
        <v>43</v>
      </c>
      <c r="V189" s="128">
        <v>0</v>
      </c>
      <c r="W189" s="128">
        <f>$V$189*$K$189</f>
        <v>0</v>
      </c>
      <c r="X189" s="128">
        <v>0</v>
      </c>
      <c r="Y189" s="128">
        <f>$X$189*$K$189</f>
        <v>0</v>
      </c>
      <c r="Z189" s="128">
        <v>0</v>
      </c>
      <c r="AA189" s="129">
        <f>$Z$189*$K$189</f>
        <v>0</v>
      </c>
      <c r="AR189" s="6" t="s">
        <v>199</v>
      </c>
      <c r="AT189" s="6" t="s">
        <v>140</v>
      </c>
      <c r="AU189" s="6" t="s">
        <v>93</v>
      </c>
      <c r="AY189" s="6" t="s">
        <v>139</v>
      </c>
      <c r="BE189" s="81">
        <f>IF($U$189="základní",$N$189,0)</f>
        <v>0</v>
      </c>
      <c r="BF189" s="81">
        <f>IF($U$189="snížená",$N$189,0)</f>
        <v>0</v>
      </c>
      <c r="BG189" s="81">
        <f>IF($U$189="zákl. přenesená",$N$189,0)</f>
        <v>0</v>
      </c>
      <c r="BH189" s="81">
        <f>IF($U$189="sníž. přenesená",$N$189,0)</f>
        <v>0</v>
      </c>
      <c r="BI189" s="81">
        <f>IF($U$189="nulová",$N$189,0)</f>
        <v>0</v>
      </c>
      <c r="BJ189" s="6" t="s">
        <v>21</v>
      </c>
      <c r="BK189" s="81">
        <f>ROUND($L$189*$K$189,2)</f>
        <v>0</v>
      </c>
      <c r="BL189" s="6" t="s">
        <v>199</v>
      </c>
    </row>
    <row r="190" spans="2:63" s="113" customFormat="1" ht="30.75" customHeight="1">
      <c r="B190" s="114"/>
      <c r="D190" s="122" t="s">
        <v>111</v>
      </c>
      <c r="N190" s="215">
        <f>$BK$190</f>
        <v>0</v>
      </c>
      <c r="O190" s="214"/>
      <c r="P190" s="214"/>
      <c r="Q190" s="214"/>
      <c r="R190" s="117"/>
      <c r="T190" s="118"/>
      <c r="W190" s="119">
        <f>SUM($W$191:$W$205)</f>
        <v>96.54625799999998</v>
      </c>
      <c r="Y190" s="119">
        <f>SUM($Y$191:$Y$205)</f>
        <v>0.38877522</v>
      </c>
      <c r="AA190" s="120">
        <f>SUM($AA$191:$AA$205)</f>
        <v>0.7488</v>
      </c>
      <c r="AR190" s="116" t="s">
        <v>93</v>
      </c>
      <c r="AT190" s="116" t="s">
        <v>77</v>
      </c>
      <c r="AU190" s="116" t="s">
        <v>21</v>
      </c>
      <c r="AY190" s="116" t="s">
        <v>139</v>
      </c>
      <c r="BK190" s="121">
        <f>SUM($BK$191:$BK$205)</f>
        <v>0</v>
      </c>
    </row>
    <row r="191" spans="2:64" s="6" customFormat="1" ht="27" customHeight="1">
      <c r="B191" s="22"/>
      <c r="C191" s="123" t="s">
        <v>266</v>
      </c>
      <c r="D191" s="123" t="s">
        <v>140</v>
      </c>
      <c r="E191" s="124" t="s">
        <v>267</v>
      </c>
      <c r="F191" s="199" t="s">
        <v>268</v>
      </c>
      <c r="G191" s="200"/>
      <c r="H191" s="200"/>
      <c r="I191" s="200"/>
      <c r="J191" s="125" t="s">
        <v>188</v>
      </c>
      <c r="K191" s="126">
        <v>3</v>
      </c>
      <c r="L191" s="201">
        <v>0</v>
      </c>
      <c r="M191" s="200"/>
      <c r="N191" s="202">
        <f>ROUND($L$191*$K$191,2)</f>
        <v>0</v>
      </c>
      <c r="O191" s="200"/>
      <c r="P191" s="200"/>
      <c r="Q191" s="200"/>
      <c r="R191" s="23"/>
      <c r="T191" s="127"/>
      <c r="U191" s="29" t="s">
        <v>43</v>
      </c>
      <c r="V191" s="128">
        <v>0.699</v>
      </c>
      <c r="W191" s="128">
        <f>$V$191*$K$191</f>
        <v>2.097</v>
      </c>
      <c r="X191" s="128">
        <v>0.00015</v>
      </c>
      <c r="Y191" s="128">
        <f>$X$191*$K$191</f>
        <v>0.00045</v>
      </c>
      <c r="Z191" s="128">
        <v>0</v>
      </c>
      <c r="AA191" s="129">
        <f>$Z$191*$K$191</f>
        <v>0</v>
      </c>
      <c r="AR191" s="6" t="s">
        <v>199</v>
      </c>
      <c r="AT191" s="6" t="s">
        <v>140</v>
      </c>
      <c r="AU191" s="6" t="s">
        <v>93</v>
      </c>
      <c r="AY191" s="6" t="s">
        <v>139</v>
      </c>
      <c r="BE191" s="81">
        <f>IF($U$191="základní",$N$191,0)</f>
        <v>0</v>
      </c>
      <c r="BF191" s="81">
        <f>IF($U$191="snížená",$N$191,0)</f>
        <v>0</v>
      </c>
      <c r="BG191" s="81">
        <f>IF($U$191="zákl. přenesená",$N$191,0)</f>
        <v>0</v>
      </c>
      <c r="BH191" s="81">
        <f>IF($U$191="sníž. přenesená",$N$191,0)</f>
        <v>0</v>
      </c>
      <c r="BI191" s="81">
        <f>IF($U$191="nulová",$N$191,0)</f>
        <v>0</v>
      </c>
      <c r="BJ191" s="6" t="s">
        <v>21</v>
      </c>
      <c r="BK191" s="81">
        <f>ROUND($L$191*$K$191,2)</f>
        <v>0</v>
      </c>
      <c r="BL191" s="6" t="s">
        <v>199</v>
      </c>
    </row>
    <row r="192" spans="2:64" s="6" customFormat="1" ht="27" customHeight="1">
      <c r="B192" s="22"/>
      <c r="C192" s="123" t="s">
        <v>269</v>
      </c>
      <c r="D192" s="123" t="s">
        <v>140</v>
      </c>
      <c r="E192" s="124" t="s">
        <v>270</v>
      </c>
      <c r="F192" s="199" t="s">
        <v>271</v>
      </c>
      <c r="G192" s="200"/>
      <c r="H192" s="200"/>
      <c r="I192" s="200"/>
      <c r="J192" s="125" t="s">
        <v>162</v>
      </c>
      <c r="K192" s="126">
        <v>46.8</v>
      </c>
      <c r="L192" s="201">
        <v>0</v>
      </c>
      <c r="M192" s="200"/>
      <c r="N192" s="202">
        <f>ROUND($L$192*$K$192,2)</f>
        <v>0</v>
      </c>
      <c r="O192" s="200"/>
      <c r="P192" s="200"/>
      <c r="Q192" s="200"/>
      <c r="R192" s="23"/>
      <c r="T192" s="127"/>
      <c r="U192" s="29" t="s">
        <v>43</v>
      </c>
      <c r="V192" s="128">
        <v>0.636</v>
      </c>
      <c r="W192" s="128">
        <f>$V$192*$K$192</f>
        <v>29.764799999999997</v>
      </c>
      <c r="X192" s="128">
        <v>6E-05</v>
      </c>
      <c r="Y192" s="128">
        <f>$X$192*$K$192</f>
        <v>0.0028079999999999997</v>
      </c>
      <c r="Z192" s="128">
        <v>0</v>
      </c>
      <c r="AA192" s="129">
        <f>$Z$192*$K$192</f>
        <v>0</v>
      </c>
      <c r="AR192" s="6" t="s">
        <v>199</v>
      </c>
      <c r="AT192" s="6" t="s">
        <v>140</v>
      </c>
      <c r="AU192" s="6" t="s">
        <v>93</v>
      </c>
      <c r="AY192" s="6" t="s">
        <v>139</v>
      </c>
      <c r="BE192" s="81">
        <f>IF($U$192="základní",$N$192,0)</f>
        <v>0</v>
      </c>
      <c r="BF192" s="81">
        <f>IF($U$192="snížená",$N$192,0)</f>
        <v>0</v>
      </c>
      <c r="BG192" s="81">
        <f>IF($U$192="zákl. přenesená",$N$192,0)</f>
        <v>0</v>
      </c>
      <c r="BH192" s="81">
        <f>IF($U$192="sníž. přenesená",$N$192,0)</f>
        <v>0</v>
      </c>
      <c r="BI192" s="81">
        <f>IF($U$192="nulová",$N$192,0)</f>
        <v>0</v>
      </c>
      <c r="BJ192" s="6" t="s">
        <v>21</v>
      </c>
      <c r="BK192" s="81">
        <f>ROUND($L$192*$K$192,2)</f>
        <v>0</v>
      </c>
      <c r="BL192" s="6" t="s">
        <v>199</v>
      </c>
    </row>
    <row r="193" spans="2:51" s="6" customFormat="1" ht="15.75" customHeight="1">
      <c r="B193" s="130"/>
      <c r="E193" s="131"/>
      <c r="F193" s="203" t="s">
        <v>262</v>
      </c>
      <c r="G193" s="204"/>
      <c r="H193" s="204"/>
      <c r="I193" s="204"/>
      <c r="K193" s="132">
        <v>46.8</v>
      </c>
      <c r="R193" s="133"/>
      <c r="T193" s="134"/>
      <c r="AA193" s="135"/>
      <c r="AT193" s="131" t="s">
        <v>146</v>
      </c>
      <c r="AU193" s="131" t="s">
        <v>93</v>
      </c>
      <c r="AV193" s="131" t="s">
        <v>93</v>
      </c>
      <c r="AW193" s="131" t="s">
        <v>101</v>
      </c>
      <c r="AX193" s="131" t="s">
        <v>21</v>
      </c>
      <c r="AY193" s="131" t="s">
        <v>139</v>
      </c>
    </row>
    <row r="194" spans="2:64" s="6" customFormat="1" ht="27" customHeight="1">
      <c r="B194" s="22"/>
      <c r="C194" s="136" t="s">
        <v>272</v>
      </c>
      <c r="D194" s="136" t="s">
        <v>147</v>
      </c>
      <c r="E194" s="137" t="s">
        <v>273</v>
      </c>
      <c r="F194" s="205" t="s">
        <v>274</v>
      </c>
      <c r="G194" s="206"/>
      <c r="H194" s="206"/>
      <c r="I194" s="206"/>
      <c r="J194" s="138" t="s">
        <v>162</v>
      </c>
      <c r="K194" s="139">
        <v>46.8</v>
      </c>
      <c r="L194" s="207">
        <v>0</v>
      </c>
      <c r="M194" s="206"/>
      <c r="N194" s="208">
        <f>ROUND($L$194*$K$194,2)</f>
        <v>0</v>
      </c>
      <c r="O194" s="200"/>
      <c r="P194" s="200"/>
      <c r="Q194" s="200"/>
      <c r="R194" s="23"/>
      <c r="T194" s="127"/>
      <c r="U194" s="29" t="s">
        <v>43</v>
      </c>
      <c r="V194" s="128">
        <v>0</v>
      </c>
      <c r="W194" s="128">
        <f>$V$194*$K$194</f>
        <v>0</v>
      </c>
      <c r="X194" s="128">
        <v>0.0048</v>
      </c>
      <c r="Y194" s="128">
        <f>$X$194*$K$194</f>
        <v>0.22463999999999998</v>
      </c>
      <c r="Z194" s="128">
        <v>0</v>
      </c>
      <c r="AA194" s="129">
        <f>$Z$194*$K$194</f>
        <v>0</v>
      </c>
      <c r="AR194" s="6" t="s">
        <v>252</v>
      </c>
      <c r="AT194" s="6" t="s">
        <v>147</v>
      </c>
      <c r="AU194" s="6" t="s">
        <v>93</v>
      </c>
      <c r="AY194" s="6" t="s">
        <v>139</v>
      </c>
      <c r="BE194" s="81">
        <f>IF($U$194="základní",$N$194,0)</f>
        <v>0</v>
      </c>
      <c r="BF194" s="81">
        <f>IF($U$194="snížená",$N$194,0)</f>
        <v>0</v>
      </c>
      <c r="BG194" s="81">
        <f>IF($U$194="zákl. přenesená",$N$194,0)</f>
        <v>0</v>
      </c>
      <c r="BH194" s="81">
        <f>IF($U$194="sníž. přenesená",$N$194,0)</f>
        <v>0</v>
      </c>
      <c r="BI194" s="81">
        <f>IF($U$194="nulová",$N$194,0)</f>
        <v>0</v>
      </c>
      <c r="BJ194" s="6" t="s">
        <v>21</v>
      </c>
      <c r="BK194" s="81">
        <f>ROUND($L$194*$K$194,2)</f>
        <v>0</v>
      </c>
      <c r="BL194" s="6" t="s">
        <v>199</v>
      </c>
    </row>
    <row r="195" spans="2:64" s="6" customFormat="1" ht="27" customHeight="1">
      <c r="B195" s="22"/>
      <c r="C195" s="123" t="s">
        <v>275</v>
      </c>
      <c r="D195" s="123" t="s">
        <v>140</v>
      </c>
      <c r="E195" s="124" t="s">
        <v>276</v>
      </c>
      <c r="F195" s="199" t="s">
        <v>277</v>
      </c>
      <c r="G195" s="200"/>
      <c r="H195" s="200"/>
      <c r="I195" s="200"/>
      <c r="J195" s="125" t="s">
        <v>162</v>
      </c>
      <c r="K195" s="126">
        <v>46.8</v>
      </c>
      <c r="L195" s="201">
        <v>0</v>
      </c>
      <c r="M195" s="200"/>
      <c r="N195" s="202">
        <f>ROUND($L$195*$K$195,2)</f>
        <v>0</v>
      </c>
      <c r="O195" s="200"/>
      <c r="P195" s="200"/>
      <c r="Q195" s="200"/>
      <c r="R195" s="23"/>
      <c r="T195" s="127"/>
      <c r="U195" s="29" t="s">
        <v>43</v>
      </c>
      <c r="V195" s="128">
        <v>0.67</v>
      </c>
      <c r="W195" s="128">
        <f>$V$195*$K$195</f>
        <v>31.356</v>
      </c>
      <c r="X195" s="128">
        <v>0</v>
      </c>
      <c r="Y195" s="128">
        <f>$X$195*$K$195</f>
        <v>0</v>
      </c>
      <c r="Z195" s="128">
        <v>0.016</v>
      </c>
      <c r="AA195" s="129">
        <f>$Z$195*$K$195</f>
        <v>0.7488</v>
      </c>
      <c r="AR195" s="6" t="s">
        <v>199</v>
      </c>
      <c r="AT195" s="6" t="s">
        <v>140</v>
      </c>
      <c r="AU195" s="6" t="s">
        <v>93</v>
      </c>
      <c r="AY195" s="6" t="s">
        <v>139</v>
      </c>
      <c r="BE195" s="81">
        <f>IF($U$195="základní",$N$195,0)</f>
        <v>0</v>
      </c>
      <c r="BF195" s="81">
        <f>IF($U$195="snížená",$N$195,0)</f>
        <v>0</v>
      </c>
      <c r="BG195" s="81">
        <f>IF($U$195="zákl. přenesená",$N$195,0)</f>
        <v>0</v>
      </c>
      <c r="BH195" s="81">
        <f>IF($U$195="sníž. přenesená",$N$195,0)</f>
        <v>0</v>
      </c>
      <c r="BI195" s="81">
        <f>IF($U$195="nulová",$N$195,0)</f>
        <v>0</v>
      </c>
      <c r="BJ195" s="6" t="s">
        <v>21</v>
      </c>
      <c r="BK195" s="81">
        <f>ROUND($L$195*$K$195,2)</f>
        <v>0</v>
      </c>
      <c r="BL195" s="6" t="s">
        <v>199</v>
      </c>
    </row>
    <row r="196" spans="2:51" s="6" customFormat="1" ht="15.75" customHeight="1">
      <c r="B196" s="130"/>
      <c r="E196" s="131"/>
      <c r="F196" s="203" t="s">
        <v>262</v>
      </c>
      <c r="G196" s="204"/>
      <c r="H196" s="204"/>
      <c r="I196" s="204"/>
      <c r="K196" s="132">
        <v>46.8</v>
      </c>
      <c r="R196" s="133"/>
      <c r="T196" s="134"/>
      <c r="AA196" s="135"/>
      <c r="AT196" s="131" t="s">
        <v>146</v>
      </c>
      <c r="AU196" s="131" t="s">
        <v>93</v>
      </c>
      <c r="AV196" s="131" t="s">
        <v>93</v>
      </c>
      <c r="AW196" s="131" t="s">
        <v>101</v>
      </c>
      <c r="AX196" s="131" t="s">
        <v>21</v>
      </c>
      <c r="AY196" s="131" t="s">
        <v>139</v>
      </c>
    </row>
    <row r="197" spans="2:64" s="6" customFormat="1" ht="15.75" customHeight="1">
      <c r="B197" s="22"/>
      <c r="C197" s="123" t="s">
        <v>278</v>
      </c>
      <c r="D197" s="123" t="s">
        <v>140</v>
      </c>
      <c r="E197" s="124" t="s">
        <v>279</v>
      </c>
      <c r="F197" s="199" t="s">
        <v>280</v>
      </c>
      <c r="G197" s="200"/>
      <c r="H197" s="200"/>
      <c r="I197" s="200"/>
      <c r="J197" s="125" t="s">
        <v>188</v>
      </c>
      <c r="K197" s="126">
        <v>18</v>
      </c>
      <c r="L197" s="201">
        <v>0</v>
      </c>
      <c r="M197" s="200"/>
      <c r="N197" s="202">
        <f>ROUND($L$197*$K$197,2)</f>
        <v>0</v>
      </c>
      <c r="O197" s="200"/>
      <c r="P197" s="200"/>
      <c r="Q197" s="200"/>
      <c r="R197" s="23"/>
      <c r="T197" s="127"/>
      <c r="U197" s="29" t="s">
        <v>43</v>
      </c>
      <c r="V197" s="128">
        <v>0.636</v>
      </c>
      <c r="W197" s="128">
        <f>$V$197*$K$197</f>
        <v>11.448</v>
      </c>
      <c r="X197" s="128">
        <v>6E-05</v>
      </c>
      <c r="Y197" s="128">
        <f>$X$197*$K$197</f>
        <v>0.00108</v>
      </c>
      <c r="Z197" s="128">
        <v>0</v>
      </c>
      <c r="AA197" s="129">
        <f>$Z$197*$K$197</f>
        <v>0</v>
      </c>
      <c r="AR197" s="6" t="s">
        <v>199</v>
      </c>
      <c r="AT197" s="6" t="s">
        <v>140</v>
      </c>
      <c r="AU197" s="6" t="s">
        <v>93</v>
      </c>
      <c r="AY197" s="6" t="s">
        <v>139</v>
      </c>
      <c r="BE197" s="81">
        <f>IF($U$197="základní",$N$197,0)</f>
        <v>0</v>
      </c>
      <c r="BF197" s="81">
        <f>IF($U$197="snížená",$N$197,0)</f>
        <v>0</v>
      </c>
      <c r="BG197" s="81">
        <f>IF($U$197="zákl. přenesená",$N$197,0)</f>
        <v>0</v>
      </c>
      <c r="BH197" s="81">
        <f>IF($U$197="sníž. přenesená",$N$197,0)</f>
        <v>0</v>
      </c>
      <c r="BI197" s="81">
        <f>IF($U$197="nulová",$N$197,0)</f>
        <v>0</v>
      </c>
      <c r="BJ197" s="6" t="s">
        <v>21</v>
      </c>
      <c r="BK197" s="81">
        <f>ROUND($L$197*$K$197,2)</f>
        <v>0</v>
      </c>
      <c r="BL197" s="6" t="s">
        <v>199</v>
      </c>
    </row>
    <row r="198" spans="2:64" s="6" customFormat="1" ht="27" customHeight="1">
      <c r="B198" s="22"/>
      <c r="C198" s="123" t="s">
        <v>281</v>
      </c>
      <c r="D198" s="123" t="s">
        <v>140</v>
      </c>
      <c r="E198" s="124" t="s">
        <v>282</v>
      </c>
      <c r="F198" s="199" t="s">
        <v>283</v>
      </c>
      <c r="G198" s="200"/>
      <c r="H198" s="200"/>
      <c r="I198" s="200"/>
      <c r="J198" s="125" t="s">
        <v>251</v>
      </c>
      <c r="K198" s="126">
        <v>139.287</v>
      </c>
      <c r="L198" s="201">
        <v>0</v>
      </c>
      <c r="M198" s="200"/>
      <c r="N198" s="202">
        <f>ROUND($L$198*$K$198,2)</f>
        <v>0</v>
      </c>
      <c r="O198" s="200"/>
      <c r="P198" s="200"/>
      <c r="Q198" s="200"/>
      <c r="R198" s="23"/>
      <c r="T198" s="127"/>
      <c r="U198" s="29" t="s">
        <v>43</v>
      </c>
      <c r="V198" s="128">
        <v>0.134</v>
      </c>
      <c r="W198" s="128">
        <f>$V$198*$K$198</f>
        <v>18.664458000000003</v>
      </c>
      <c r="X198" s="128">
        <v>6E-05</v>
      </c>
      <c r="Y198" s="128">
        <f>$X$198*$K$198</f>
        <v>0.00835722</v>
      </c>
      <c r="Z198" s="128">
        <v>0</v>
      </c>
      <c r="AA198" s="129">
        <f>$Z$198*$K$198</f>
        <v>0</v>
      </c>
      <c r="AR198" s="6" t="s">
        <v>199</v>
      </c>
      <c r="AT198" s="6" t="s">
        <v>140</v>
      </c>
      <c r="AU198" s="6" t="s">
        <v>93</v>
      </c>
      <c r="AY198" s="6" t="s">
        <v>139</v>
      </c>
      <c r="BE198" s="81">
        <f>IF($U$198="základní",$N$198,0)</f>
        <v>0</v>
      </c>
      <c r="BF198" s="81">
        <f>IF($U$198="snížená",$N$198,0)</f>
        <v>0</v>
      </c>
      <c r="BG198" s="81">
        <f>IF($U$198="zákl. přenesená",$N$198,0)</f>
        <v>0</v>
      </c>
      <c r="BH198" s="81">
        <f>IF($U$198="sníž. přenesená",$N$198,0)</f>
        <v>0</v>
      </c>
      <c r="BI198" s="81">
        <f>IF($U$198="nulová",$N$198,0)</f>
        <v>0</v>
      </c>
      <c r="BJ198" s="6" t="s">
        <v>21</v>
      </c>
      <c r="BK198" s="81">
        <f>ROUND($L$198*$K$198,2)</f>
        <v>0</v>
      </c>
      <c r="BL198" s="6" t="s">
        <v>199</v>
      </c>
    </row>
    <row r="199" spans="2:51" s="6" customFormat="1" ht="15.75" customHeight="1">
      <c r="B199" s="130"/>
      <c r="E199" s="131"/>
      <c r="F199" s="203" t="s">
        <v>284</v>
      </c>
      <c r="G199" s="204"/>
      <c r="H199" s="204"/>
      <c r="I199" s="204"/>
      <c r="K199" s="132">
        <v>123.255</v>
      </c>
      <c r="R199" s="133"/>
      <c r="T199" s="134"/>
      <c r="AA199" s="135"/>
      <c r="AT199" s="131" t="s">
        <v>146</v>
      </c>
      <c r="AU199" s="131" t="s">
        <v>93</v>
      </c>
      <c r="AV199" s="131" t="s">
        <v>93</v>
      </c>
      <c r="AW199" s="131" t="s">
        <v>101</v>
      </c>
      <c r="AX199" s="131" t="s">
        <v>78</v>
      </c>
      <c r="AY199" s="131" t="s">
        <v>139</v>
      </c>
    </row>
    <row r="200" spans="2:51" s="6" customFormat="1" ht="15.75" customHeight="1">
      <c r="B200" s="130"/>
      <c r="E200" s="131"/>
      <c r="F200" s="203" t="s">
        <v>285</v>
      </c>
      <c r="G200" s="204"/>
      <c r="H200" s="204"/>
      <c r="I200" s="204"/>
      <c r="K200" s="132">
        <v>16.032</v>
      </c>
      <c r="R200" s="133"/>
      <c r="T200" s="134"/>
      <c r="AA200" s="135"/>
      <c r="AT200" s="131" t="s">
        <v>146</v>
      </c>
      <c r="AU200" s="131" t="s">
        <v>93</v>
      </c>
      <c r="AV200" s="131" t="s">
        <v>93</v>
      </c>
      <c r="AW200" s="131" t="s">
        <v>101</v>
      </c>
      <c r="AX200" s="131" t="s">
        <v>78</v>
      </c>
      <c r="AY200" s="131" t="s">
        <v>139</v>
      </c>
    </row>
    <row r="201" spans="2:51" s="6" customFormat="1" ht="15.75" customHeight="1">
      <c r="B201" s="140"/>
      <c r="E201" s="141"/>
      <c r="F201" s="209" t="s">
        <v>219</v>
      </c>
      <c r="G201" s="210"/>
      <c r="H201" s="210"/>
      <c r="I201" s="210"/>
      <c r="K201" s="142">
        <v>139.287</v>
      </c>
      <c r="R201" s="143"/>
      <c r="T201" s="144"/>
      <c r="AA201" s="145"/>
      <c r="AT201" s="141" t="s">
        <v>146</v>
      </c>
      <c r="AU201" s="141" t="s">
        <v>93</v>
      </c>
      <c r="AV201" s="141" t="s">
        <v>144</v>
      </c>
      <c r="AW201" s="141" t="s">
        <v>101</v>
      </c>
      <c r="AX201" s="141" t="s">
        <v>21</v>
      </c>
      <c r="AY201" s="141" t="s">
        <v>139</v>
      </c>
    </row>
    <row r="202" spans="2:64" s="6" customFormat="1" ht="15.75" customHeight="1">
      <c r="B202" s="22"/>
      <c r="C202" s="136" t="s">
        <v>286</v>
      </c>
      <c r="D202" s="136" t="s">
        <v>147</v>
      </c>
      <c r="E202" s="137" t="s">
        <v>287</v>
      </c>
      <c r="F202" s="205" t="s">
        <v>288</v>
      </c>
      <c r="G202" s="206"/>
      <c r="H202" s="206"/>
      <c r="I202" s="206"/>
      <c r="J202" s="138" t="s">
        <v>143</v>
      </c>
      <c r="K202" s="139">
        <v>0.15</v>
      </c>
      <c r="L202" s="207">
        <v>0</v>
      </c>
      <c r="M202" s="206"/>
      <c r="N202" s="208">
        <f>ROUND($L$202*$K$202,2)</f>
        <v>0</v>
      </c>
      <c r="O202" s="200"/>
      <c r="P202" s="200"/>
      <c r="Q202" s="200"/>
      <c r="R202" s="23"/>
      <c r="T202" s="127"/>
      <c r="U202" s="29" t="s">
        <v>43</v>
      </c>
      <c r="V202" s="128">
        <v>0</v>
      </c>
      <c r="W202" s="128">
        <f>$V$202*$K$202</f>
        <v>0</v>
      </c>
      <c r="X202" s="128">
        <v>1</v>
      </c>
      <c r="Y202" s="128">
        <f>$X$202*$K$202</f>
        <v>0.15</v>
      </c>
      <c r="Z202" s="128">
        <v>0</v>
      </c>
      <c r="AA202" s="129">
        <f>$Z$202*$K$202</f>
        <v>0</v>
      </c>
      <c r="AR202" s="6" t="s">
        <v>252</v>
      </c>
      <c r="AT202" s="6" t="s">
        <v>147</v>
      </c>
      <c r="AU202" s="6" t="s">
        <v>93</v>
      </c>
      <c r="AY202" s="6" t="s">
        <v>139</v>
      </c>
      <c r="BE202" s="81">
        <f>IF($U$202="základní",$N$202,0)</f>
        <v>0</v>
      </c>
      <c r="BF202" s="81">
        <f>IF($U$202="snížená",$N$202,0)</f>
        <v>0</v>
      </c>
      <c r="BG202" s="81">
        <f>IF($U$202="zákl. přenesená",$N$202,0)</f>
        <v>0</v>
      </c>
      <c r="BH202" s="81">
        <f>IF($U$202="sníž. přenesená",$N$202,0)</f>
        <v>0</v>
      </c>
      <c r="BI202" s="81">
        <f>IF($U$202="nulová",$N$202,0)</f>
        <v>0</v>
      </c>
      <c r="BJ202" s="6" t="s">
        <v>21</v>
      </c>
      <c r="BK202" s="81">
        <f>ROUND($L$202*$K$202,2)</f>
        <v>0</v>
      </c>
      <c r="BL202" s="6" t="s">
        <v>199</v>
      </c>
    </row>
    <row r="203" spans="2:51" s="6" customFormat="1" ht="15.75" customHeight="1">
      <c r="B203" s="130"/>
      <c r="E203" s="131"/>
      <c r="F203" s="203" t="s">
        <v>289</v>
      </c>
      <c r="G203" s="204"/>
      <c r="H203" s="204"/>
      <c r="I203" s="204"/>
      <c r="K203" s="132">
        <v>0.15</v>
      </c>
      <c r="R203" s="133"/>
      <c r="T203" s="134"/>
      <c r="AA203" s="135"/>
      <c r="AT203" s="131" t="s">
        <v>146</v>
      </c>
      <c r="AU203" s="131" t="s">
        <v>93</v>
      </c>
      <c r="AV203" s="131" t="s">
        <v>93</v>
      </c>
      <c r="AW203" s="131" t="s">
        <v>101</v>
      </c>
      <c r="AX203" s="131" t="s">
        <v>21</v>
      </c>
      <c r="AY203" s="131" t="s">
        <v>139</v>
      </c>
    </row>
    <row r="204" spans="2:64" s="6" customFormat="1" ht="27" customHeight="1">
      <c r="B204" s="22"/>
      <c r="C204" s="123" t="s">
        <v>290</v>
      </c>
      <c r="D204" s="123" t="s">
        <v>140</v>
      </c>
      <c r="E204" s="124" t="s">
        <v>291</v>
      </c>
      <c r="F204" s="199" t="s">
        <v>292</v>
      </c>
      <c r="G204" s="200"/>
      <c r="H204" s="200"/>
      <c r="I204" s="200"/>
      <c r="J204" s="125" t="s">
        <v>188</v>
      </c>
      <c r="K204" s="126">
        <v>24</v>
      </c>
      <c r="L204" s="201">
        <v>0</v>
      </c>
      <c r="M204" s="200"/>
      <c r="N204" s="202">
        <f>ROUND($L$204*$K$204,2)</f>
        <v>0</v>
      </c>
      <c r="O204" s="200"/>
      <c r="P204" s="200"/>
      <c r="Q204" s="200"/>
      <c r="R204" s="23"/>
      <c r="T204" s="127"/>
      <c r="U204" s="29" t="s">
        <v>43</v>
      </c>
      <c r="V204" s="128">
        <v>0.134</v>
      </c>
      <c r="W204" s="128">
        <f>$V$204*$K$204</f>
        <v>3.216</v>
      </c>
      <c r="X204" s="128">
        <v>6E-05</v>
      </c>
      <c r="Y204" s="128">
        <f>$X$204*$K$204</f>
        <v>0.00144</v>
      </c>
      <c r="Z204" s="128">
        <v>0</v>
      </c>
      <c r="AA204" s="129">
        <f>$Z$204*$K$204</f>
        <v>0</v>
      </c>
      <c r="AR204" s="6" t="s">
        <v>199</v>
      </c>
      <c r="AT204" s="6" t="s">
        <v>140</v>
      </c>
      <c r="AU204" s="6" t="s">
        <v>93</v>
      </c>
      <c r="AY204" s="6" t="s">
        <v>139</v>
      </c>
      <c r="BE204" s="81">
        <f>IF($U$204="základní",$N$204,0)</f>
        <v>0</v>
      </c>
      <c r="BF204" s="81">
        <f>IF($U$204="snížená",$N$204,0)</f>
        <v>0</v>
      </c>
      <c r="BG204" s="81">
        <f>IF($U$204="zákl. přenesená",$N$204,0)</f>
        <v>0</v>
      </c>
      <c r="BH204" s="81">
        <f>IF($U$204="sníž. přenesená",$N$204,0)</f>
        <v>0</v>
      </c>
      <c r="BI204" s="81">
        <f>IF($U$204="nulová",$N$204,0)</f>
        <v>0</v>
      </c>
      <c r="BJ204" s="6" t="s">
        <v>21</v>
      </c>
      <c r="BK204" s="81">
        <f>ROUND($L$204*$K$204,2)</f>
        <v>0</v>
      </c>
      <c r="BL204" s="6" t="s">
        <v>199</v>
      </c>
    </row>
    <row r="205" spans="2:64" s="6" customFormat="1" ht="27" customHeight="1">
      <c r="B205" s="22"/>
      <c r="C205" s="123" t="s">
        <v>293</v>
      </c>
      <c r="D205" s="123" t="s">
        <v>140</v>
      </c>
      <c r="E205" s="124" t="s">
        <v>294</v>
      </c>
      <c r="F205" s="199" t="s">
        <v>295</v>
      </c>
      <c r="G205" s="200"/>
      <c r="H205" s="200"/>
      <c r="I205" s="200"/>
      <c r="J205" s="125" t="s">
        <v>256</v>
      </c>
      <c r="K205" s="146">
        <v>0</v>
      </c>
      <c r="L205" s="201">
        <v>0</v>
      </c>
      <c r="M205" s="200"/>
      <c r="N205" s="202">
        <f>ROUND($L$205*$K$205,2)</f>
        <v>0</v>
      </c>
      <c r="O205" s="200"/>
      <c r="P205" s="200"/>
      <c r="Q205" s="200"/>
      <c r="R205" s="23"/>
      <c r="T205" s="127"/>
      <c r="U205" s="29" t="s">
        <v>43</v>
      </c>
      <c r="V205" s="128">
        <v>0</v>
      </c>
      <c r="W205" s="128">
        <f>$V$205*$K$205</f>
        <v>0</v>
      </c>
      <c r="X205" s="128">
        <v>0</v>
      </c>
      <c r="Y205" s="128">
        <f>$X$205*$K$205</f>
        <v>0</v>
      </c>
      <c r="Z205" s="128">
        <v>0</v>
      </c>
      <c r="AA205" s="129">
        <f>$Z$205*$K$205</f>
        <v>0</v>
      </c>
      <c r="AR205" s="6" t="s">
        <v>199</v>
      </c>
      <c r="AT205" s="6" t="s">
        <v>140</v>
      </c>
      <c r="AU205" s="6" t="s">
        <v>93</v>
      </c>
      <c r="AY205" s="6" t="s">
        <v>139</v>
      </c>
      <c r="BE205" s="81">
        <f>IF($U$205="základní",$N$205,0)</f>
        <v>0</v>
      </c>
      <c r="BF205" s="81">
        <f>IF($U$205="snížená",$N$205,0)</f>
        <v>0</v>
      </c>
      <c r="BG205" s="81">
        <f>IF($U$205="zákl. přenesená",$N$205,0)</f>
        <v>0</v>
      </c>
      <c r="BH205" s="81">
        <f>IF($U$205="sníž. přenesená",$N$205,0)</f>
        <v>0</v>
      </c>
      <c r="BI205" s="81">
        <f>IF($U$205="nulová",$N$205,0)</f>
        <v>0</v>
      </c>
      <c r="BJ205" s="6" t="s">
        <v>21</v>
      </c>
      <c r="BK205" s="81">
        <f>ROUND($L$205*$K$205,2)</f>
        <v>0</v>
      </c>
      <c r="BL205" s="6" t="s">
        <v>199</v>
      </c>
    </row>
    <row r="206" spans="2:63" s="113" customFormat="1" ht="30.75" customHeight="1">
      <c r="B206" s="114"/>
      <c r="D206" s="122" t="s">
        <v>112</v>
      </c>
      <c r="N206" s="215">
        <f>$BK$206</f>
        <v>0</v>
      </c>
      <c r="O206" s="214"/>
      <c r="P206" s="214"/>
      <c r="Q206" s="214"/>
      <c r="R206" s="117"/>
      <c r="T206" s="118"/>
      <c r="W206" s="119">
        <f>SUM($W$207:$W$216)</f>
        <v>49.6332</v>
      </c>
      <c r="Y206" s="119">
        <f>SUM($Y$207:$Y$216)</f>
        <v>1.516611</v>
      </c>
      <c r="AA206" s="120">
        <f>SUM($AA$207:$AA$216)</f>
        <v>0</v>
      </c>
      <c r="AR206" s="116" t="s">
        <v>93</v>
      </c>
      <c r="AT206" s="116" t="s">
        <v>77</v>
      </c>
      <c r="AU206" s="116" t="s">
        <v>21</v>
      </c>
      <c r="AY206" s="116" t="s">
        <v>139</v>
      </c>
      <c r="BK206" s="121">
        <f>SUM($BK$207:$BK$216)</f>
        <v>0</v>
      </c>
    </row>
    <row r="207" spans="2:64" s="6" customFormat="1" ht="27" customHeight="1">
      <c r="B207" s="22"/>
      <c r="C207" s="123" t="s">
        <v>296</v>
      </c>
      <c r="D207" s="123" t="s">
        <v>140</v>
      </c>
      <c r="E207" s="124" t="s">
        <v>297</v>
      </c>
      <c r="F207" s="199" t="s">
        <v>298</v>
      </c>
      <c r="G207" s="200"/>
      <c r="H207" s="200"/>
      <c r="I207" s="200"/>
      <c r="J207" s="125" t="s">
        <v>162</v>
      </c>
      <c r="K207" s="126">
        <v>46.2</v>
      </c>
      <c r="L207" s="201">
        <v>0</v>
      </c>
      <c r="M207" s="200"/>
      <c r="N207" s="202">
        <f>ROUND($L$207*$K$207,2)</f>
        <v>0</v>
      </c>
      <c r="O207" s="200"/>
      <c r="P207" s="200"/>
      <c r="Q207" s="200"/>
      <c r="R207" s="23"/>
      <c r="T207" s="127"/>
      <c r="U207" s="29" t="s">
        <v>43</v>
      </c>
      <c r="V207" s="128">
        <v>0.349</v>
      </c>
      <c r="W207" s="128">
        <f>$V$207*$K$207</f>
        <v>16.1238</v>
      </c>
      <c r="X207" s="128">
        <v>0.00562</v>
      </c>
      <c r="Y207" s="128">
        <f>$X$207*$K$207</f>
        <v>0.25964400000000004</v>
      </c>
      <c r="Z207" s="128">
        <v>0</v>
      </c>
      <c r="AA207" s="129">
        <f>$Z$207*$K$207</f>
        <v>0</v>
      </c>
      <c r="AR207" s="6" t="s">
        <v>199</v>
      </c>
      <c r="AT207" s="6" t="s">
        <v>140</v>
      </c>
      <c r="AU207" s="6" t="s">
        <v>93</v>
      </c>
      <c r="AY207" s="6" t="s">
        <v>139</v>
      </c>
      <c r="BE207" s="81">
        <f>IF($U$207="základní",$N$207,0)</f>
        <v>0</v>
      </c>
      <c r="BF207" s="81">
        <f>IF($U$207="snížená",$N$207,0)</f>
        <v>0</v>
      </c>
      <c r="BG207" s="81">
        <f>IF($U$207="zákl. přenesená",$N$207,0)</f>
        <v>0</v>
      </c>
      <c r="BH207" s="81">
        <f>IF($U$207="sníž. přenesená",$N$207,0)</f>
        <v>0</v>
      </c>
      <c r="BI207" s="81">
        <f>IF($U$207="nulová",$N$207,0)</f>
        <v>0</v>
      </c>
      <c r="BJ207" s="6" t="s">
        <v>21</v>
      </c>
      <c r="BK207" s="81">
        <f>ROUND($L$207*$K$207,2)</f>
        <v>0</v>
      </c>
      <c r="BL207" s="6" t="s">
        <v>199</v>
      </c>
    </row>
    <row r="208" spans="2:51" s="6" customFormat="1" ht="15.75" customHeight="1">
      <c r="B208" s="130"/>
      <c r="E208" s="131"/>
      <c r="F208" s="203" t="s">
        <v>299</v>
      </c>
      <c r="G208" s="204"/>
      <c r="H208" s="204"/>
      <c r="I208" s="204"/>
      <c r="K208" s="132">
        <v>46.2</v>
      </c>
      <c r="R208" s="133"/>
      <c r="T208" s="134"/>
      <c r="AA208" s="135"/>
      <c r="AT208" s="131" t="s">
        <v>146</v>
      </c>
      <c r="AU208" s="131" t="s">
        <v>93</v>
      </c>
      <c r="AV208" s="131" t="s">
        <v>93</v>
      </c>
      <c r="AW208" s="131" t="s">
        <v>101</v>
      </c>
      <c r="AX208" s="131" t="s">
        <v>21</v>
      </c>
      <c r="AY208" s="131" t="s">
        <v>139</v>
      </c>
    </row>
    <row r="209" spans="2:64" s="6" customFormat="1" ht="27" customHeight="1">
      <c r="B209" s="22"/>
      <c r="C209" s="123" t="s">
        <v>300</v>
      </c>
      <c r="D209" s="123" t="s">
        <v>140</v>
      </c>
      <c r="E209" s="124" t="s">
        <v>301</v>
      </c>
      <c r="F209" s="199" t="s">
        <v>302</v>
      </c>
      <c r="G209" s="200"/>
      <c r="H209" s="200"/>
      <c r="I209" s="200"/>
      <c r="J209" s="125" t="s">
        <v>172</v>
      </c>
      <c r="K209" s="126">
        <v>46.65</v>
      </c>
      <c r="L209" s="201">
        <v>0</v>
      </c>
      <c r="M209" s="200"/>
      <c r="N209" s="202">
        <f>ROUND($L$209*$K$209,2)</f>
        <v>0</v>
      </c>
      <c r="O209" s="200"/>
      <c r="P209" s="200"/>
      <c r="Q209" s="200"/>
      <c r="R209" s="23"/>
      <c r="T209" s="127"/>
      <c r="U209" s="29" t="s">
        <v>43</v>
      </c>
      <c r="V209" s="128">
        <v>0.522</v>
      </c>
      <c r="W209" s="128">
        <f>$V$209*$K$209</f>
        <v>24.351300000000002</v>
      </c>
      <c r="X209" s="128">
        <v>0.00366</v>
      </c>
      <c r="Y209" s="128">
        <f>$X$209*$K$209</f>
        <v>0.170739</v>
      </c>
      <c r="Z209" s="128">
        <v>0</v>
      </c>
      <c r="AA209" s="129">
        <f>$Z$209*$K$209</f>
        <v>0</v>
      </c>
      <c r="AR209" s="6" t="s">
        <v>199</v>
      </c>
      <c r="AT209" s="6" t="s">
        <v>140</v>
      </c>
      <c r="AU209" s="6" t="s">
        <v>93</v>
      </c>
      <c r="AY209" s="6" t="s">
        <v>139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81">
        <f>ROUND($L$209*$K$209,2)</f>
        <v>0</v>
      </c>
      <c r="BL209" s="6" t="s">
        <v>199</v>
      </c>
    </row>
    <row r="210" spans="2:51" s="6" customFormat="1" ht="15.75" customHeight="1">
      <c r="B210" s="130"/>
      <c r="E210" s="131"/>
      <c r="F210" s="203" t="s">
        <v>303</v>
      </c>
      <c r="G210" s="204"/>
      <c r="H210" s="204"/>
      <c r="I210" s="204"/>
      <c r="K210" s="132">
        <v>46.65</v>
      </c>
      <c r="R210" s="133"/>
      <c r="T210" s="134"/>
      <c r="AA210" s="135"/>
      <c r="AT210" s="131" t="s">
        <v>146</v>
      </c>
      <c r="AU210" s="131" t="s">
        <v>93</v>
      </c>
      <c r="AV210" s="131" t="s">
        <v>93</v>
      </c>
      <c r="AW210" s="131" t="s">
        <v>101</v>
      </c>
      <c r="AX210" s="131" t="s">
        <v>21</v>
      </c>
      <c r="AY210" s="131" t="s">
        <v>139</v>
      </c>
    </row>
    <row r="211" spans="2:64" s="6" customFormat="1" ht="39" customHeight="1">
      <c r="B211" s="22"/>
      <c r="C211" s="136" t="s">
        <v>304</v>
      </c>
      <c r="D211" s="136" t="s">
        <v>147</v>
      </c>
      <c r="E211" s="137" t="s">
        <v>305</v>
      </c>
      <c r="F211" s="205" t="s">
        <v>306</v>
      </c>
      <c r="G211" s="206"/>
      <c r="H211" s="206"/>
      <c r="I211" s="206"/>
      <c r="J211" s="138" t="s">
        <v>172</v>
      </c>
      <c r="K211" s="139">
        <v>56.397</v>
      </c>
      <c r="L211" s="207">
        <v>0</v>
      </c>
      <c r="M211" s="206"/>
      <c r="N211" s="208">
        <f>ROUND($L$211*$K$211,2)</f>
        <v>0</v>
      </c>
      <c r="O211" s="200"/>
      <c r="P211" s="200"/>
      <c r="Q211" s="200"/>
      <c r="R211" s="23"/>
      <c r="T211" s="127"/>
      <c r="U211" s="29" t="s">
        <v>43</v>
      </c>
      <c r="V211" s="128">
        <v>0</v>
      </c>
      <c r="W211" s="128">
        <f>$V$211*$K$211</f>
        <v>0</v>
      </c>
      <c r="X211" s="128">
        <v>0.0192</v>
      </c>
      <c r="Y211" s="128">
        <f>$X$211*$K$211</f>
        <v>1.0828224</v>
      </c>
      <c r="Z211" s="128">
        <v>0</v>
      </c>
      <c r="AA211" s="129">
        <f>$Z$211*$K$211</f>
        <v>0</v>
      </c>
      <c r="AR211" s="6" t="s">
        <v>252</v>
      </c>
      <c r="AT211" s="6" t="s">
        <v>147</v>
      </c>
      <c r="AU211" s="6" t="s">
        <v>93</v>
      </c>
      <c r="AY211" s="6" t="s">
        <v>139</v>
      </c>
      <c r="BE211" s="81">
        <f>IF($U$211="základní",$N$211,0)</f>
        <v>0</v>
      </c>
      <c r="BF211" s="81">
        <f>IF($U$211="snížená",$N$211,0)</f>
        <v>0</v>
      </c>
      <c r="BG211" s="81">
        <f>IF($U$211="zákl. přenesená",$N$211,0)</f>
        <v>0</v>
      </c>
      <c r="BH211" s="81">
        <f>IF($U$211="sníž. přenesená",$N$211,0)</f>
        <v>0</v>
      </c>
      <c r="BI211" s="81">
        <f>IF($U$211="nulová",$N$211,0)</f>
        <v>0</v>
      </c>
      <c r="BJ211" s="6" t="s">
        <v>21</v>
      </c>
      <c r="BK211" s="81">
        <f>ROUND($L$211*$K$211,2)</f>
        <v>0</v>
      </c>
      <c r="BL211" s="6" t="s">
        <v>199</v>
      </c>
    </row>
    <row r="212" spans="2:64" s="6" customFormat="1" ht="27" customHeight="1">
      <c r="B212" s="22"/>
      <c r="C212" s="123" t="s">
        <v>307</v>
      </c>
      <c r="D212" s="123" t="s">
        <v>140</v>
      </c>
      <c r="E212" s="124" t="s">
        <v>308</v>
      </c>
      <c r="F212" s="199" t="s">
        <v>309</v>
      </c>
      <c r="G212" s="200"/>
      <c r="H212" s="200"/>
      <c r="I212" s="200"/>
      <c r="J212" s="125" t="s">
        <v>172</v>
      </c>
      <c r="K212" s="126">
        <v>46.65</v>
      </c>
      <c r="L212" s="201">
        <v>0</v>
      </c>
      <c r="M212" s="200"/>
      <c r="N212" s="202">
        <f>ROUND($L$212*$K$212,2)</f>
        <v>0</v>
      </c>
      <c r="O212" s="200"/>
      <c r="P212" s="200"/>
      <c r="Q212" s="200"/>
      <c r="R212" s="23"/>
      <c r="T212" s="127"/>
      <c r="U212" s="29" t="s">
        <v>43</v>
      </c>
      <c r="V212" s="128">
        <v>0.03</v>
      </c>
      <c r="W212" s="128">
        <f>$V$212*$K$212</f>
        <v>1.3995</v>
      </c>
      <c r="X212" s="128">
        <v>0</v>
      </c>
      <c r="Y212" s="128">
        <f>$X$212*$K$212</f>
        <v>0</v>
      </c>
      <c r="Z212" s="128">
        <v>0</v>
      </c>
      <c r="AA212" s="129">
        <f>$Z$212*$K$212</f>
        <v>0</v>
      </c>
      <c r="AR212" s="6" t="s">
        <v>199</v>
      </c>
      <c r="AT212" s="6" t="s">
        <v>140</v>
      </c>
      <c r="AU212" s="6" t="s">
        <v>93</v>
      </c>
      <c r="AY212" s="6" t="s">
        <v>139</v>
      </c>
      <c r="BE212" s="81">
        <f>IF($U$212="základní",$N$212,0)</f>
        <v>0</v>
      </c>
      <c r="BF212" s="81">
        <f>IF($U$212="snížená",$N$212,0)</f>
        <v>0</v>
      </c>
      <c r="BG212" s="81">
        <f>IF($U$212="zákl. přenesená",$N$212,0)</f>
        <v>0</v>
      </c>
      <c r="BH212" s="81">
        <f>IF($U$212="sníž. přenesená",$N$212,0)</f>
        <v>0</v>
      </c>
      <c r="BI212" s="81">
        <f>IF($U$212="nulová",$N$212,0)</f>
        <v>0</v>
      </c>
      <c r="BJ212" s="6" t="s">
        <v>21</v>
      </c>
      <c r="BK212" s="81">
        <f>ROUND($L$212*$K$212,2)</f>
        <v>0</v>
      </c>
      <c r="BL212" s="6" t="s">
        <v>199</v>
      </c>
    </row>
    <row r="213" spans="2:64" s="6" customFormat="1" ht="27" customHeight="1">
      <c r="B213" s="22"/>
      <c r="C213" s="123" t="s">
        <v>310</v>
      </c>
      <c r="D213" s="123" t="s">
        <v>140</v>
      </c>
      <c r="E213" s="124" t="s">
        <v>311</v>
      </c>
      <c r="F213" s="199" t="s">
        <v>312</v>
      </c>
      <c r="G213" s="200"/>
      <c r="H213" s="200"/>
      <c r="I213" s="200"/>
      <c r="J213" s="125" t="s">
        <v>172</v>
      </c>
      <c r="K213" s="126">
        <v>51.27</v>
      </c>
      <c r="L213" s="201">
        <v>0</v>
      </c>
      <c r="M213" s="200"/>
      <c r="N213" s="202">
        <f>ROUND($L$213*$K$213,2)</f>
        <v>0</v>
      </c>
      <c r="O213" s="200"/>
      <c r="P213" s="200"/>
      <c r="Q213" s="200"/>
      <c r="R213" s="23"/>
      <c r="T213" s="127"/>
      <c r="U213" s="29" t="s">
        <v>43</v>
      </c>
      <c r="V213" s="128">
        <v>0.1</v>
      </c>
      <c r="W213" s="128">
        <f>$V$213*$K$213</f>
        <v>5.127000000000001</v>
      </c>
      <c r="X213" s="128">
        <v>0</v>
      </c>
      <c r="Y213" s="128">
        <f>$X$213*$K$213</f>
        <v>0</v>
      </c>
      <c r="Z213" s="128">
        <v>0</v>
      </c>
      <c r="AA213" s="129">
        <f>$Z$213*$K$213</f>
        <v>0</v>
      </c>
      <c r="AR213" s="6" t="s">
        <v>199</v>
      </c>
      <c r="AT213" s="6" t="s">
        <v>140</v>
      </c>
      <c r="AU213" s="6" t="s">
        <v>93</v>
      </c>
      <c r="AY213" s="6" t="s">
        <v>139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81">
        <f>ROUND($L$213*$K$213,2)</f>
        <v>0</v>
      </c>
      <c r="BL213" s="6" t="s">
        <v>199</v>
      </c>
    </row>
    <row r="214" spans="2:64" s="6" customFormat="1" ht="27" customHeight="1">
      <c r="B214" s="22"/>
      <c r="C214" s="123" t="s">
        <v>313</v>
      </c>
      <c r="D214" s="123" t="s">
        <v>140</v>
      </c>
      <c r="E214" s="124" t="s">
        <v>314</v>
      </c>
      <c r="F214" s="199" t="s">
        <v>315</v>
      </c>
      <c r="G214" s="200"/>
      <c r="H214" s="200"/>
      <c r="I214" s="200"/>
      <c r="J214" s="125" t="s">
        <v>162</v>
      </c>
      <c r="K214" s="126">
        <v>51.6</v>
      </c>
      <c r="L214" s="201">
        <v>0</v>
      </c>
      <c r="M214" s="200"/>
      <c r="N214" s="202">
        <f>ROUND($L$214*$K$214,2)</f>
        <v>0</v>
      </c>
      <c r="O214" s="200"/>
      <c r="P214" s="200"/>
      <c r="Q214" s="200"/>
      <c r="R214" s="23"/>
      <c r="T214" s="127"/>
      <c r="U214" s="29" t="s">
        <v>43</v>
      </c>
      <c r="V214" s="128">
        <v>0.051</v>
      </c>
      <c r="W214" s="128">
        <f>$V$214*$K$214</f>
        <v>2.6315999999999997</v>
      </c>
      <c r="X214" s="128">
        <v>0</v>
      </c>
      <c r="Y214" s="128">
        <f>$X$214*$K$214</f>
        <v>0</v>
      </c>
      <c r="Z214" s="128">
        <v>0</v>
      </c>
      <c r="AA214" s="129">
        <f>$Z$214*$K$214</f>
        <v>0</v>
      </c>
      <c r="AR214" s="6" t="s">
        <v>199</v>
      </c>
      <c r="AT214" s="6" t="s">
        <v>140</v>
      </c>
      <c r="AU214" s="6" t="s">
        <v>93</v>
      </c>
      <c r="AY214" s="6" t="s">
        <v>139</v>
      </c>
      <c r="BE214" s="81">
        <f>IF($U$214="základní",$N$214,0)</f>
        <v>0</v>
      </c>
      <c r="BF214" s="81">
        <f>IF($U$214="snížená",$N$214,0)</f>
        <v>0</v>
      </c>
      <c r="BG214" s="81">
        <f>IF($U$214="zákl. přenesená",$N$214,0)</f>
        <v>0</v>
      </c>
      <c r="BH214" s="81">
        <f>IF($U$214="sníž. přenesená",$N$214,0)</f>
        <v>0</v>
      </c>
      <c r="BI214" s="81">
        <f>IF($U$214="nulová",$N$214,0)</f>
        <v>0</v>
      </c>
      <c r="BJ214" s="6" t="s">
        <v>21</v>
      </c>
      <c r="BK214" s="81">
        <f>ROUND($L$214*$K$214,2)</f>
        <v>0</v>
      </c>
      <c r="BL214" s="6" t="s">
        <v>199</v>
      </c>
    </row>
    <row r="215" spans="2:64" s="6" customFormat="1" ht="15.75" customHeight="1">
      <c r="B215" s="22"/>
      <c r="C215" s="136" t="s">
        <v>316</v>
      </c>
      <c r="D215" s="136" t="s">
        <v>147</v>
      </c>
      <c r="E215" s="137" t="s">
        <v>317</v>
      </c>
      <c r="F215" s="205" t="s">
        <v>318</v>
      </c>
      <c r="G215" s="206"/>
      <c r="H215" s="206"/>
      <c r="I215" s="206"/>
      <c r="J215" s="138" t="s">
        <v>162</v>
      </c>
      <c r="K215" s="139">
        <v>56.76</v>
      </c>
      <c r="L215" s="207">
        <v>0</v>
      </c>
      <c r="M215" s="206"/>
      <c r="N215" s="208">
        <f>ROUND($L$215*$K$215,2)</f>
        <v>0</v>
      </c>
      <c r="O215" s="200"/>
      <c r="P215" s="200"/>
      <c r="Q215" s="200"/>
      <c r="R215" s="23"/>
      <c r="T215" s="127"/>
      <c r="U215" s="29" t="s">
        <v>43</v>
      </c>
      <c r="V215" s="128">
        <v>0</v>
      </c>
      <c r="W215" s="128">
        <f>$V$215*$K$215</f>
        <v>0</v>
      </c>
      <c r="X215" s="128">
        <v>6E-05</v>
      </c>
      <c r="Y215" s="128">
        <f>$X$215*$K$215</f>
        <v>0.0034056</v>
      </c>
      <c r="Z215" s="128">
        <v>0</v>
      </c>
      <c r="AA215" s="129">
        <f>$Z$215*$K$215</f>
        <v>0</v>
      </c>
      <c r="AR215" s="6" t="s">
        <v>252</v>
      </c>
      <c r="AT215" s="6" t="s">
        <v>147</v>
      </c>
      <c r="AU215" s="6" t="s">
        <v>93</v>
      </c>
      <c r="AY215" s="6" t="s">
        <v>139</v>
      </c>
      <c r="BE215" s="81">
        <f>IF($U$215="základní",$N$215,0)</f>
        <v>0</v>
      </c>
      <c r="BF215" s="81">
        <f>IF($U$215="snížená",$N$215,0)</f>
        <v>0</v>
      </c>
      <c r="BG215" s="81">
        <f>IF($U$215="zákl. přenesená",$N$215,0)</f>
        <v>0</v>
      </c>
      <c r="BH215" s="81">
        <f>IF($U$215="sníž. přenesená",$N$215,0)</f>
        <v>0</v>
      </c>
      <c r="BI215" s="81">
        <f>IF($U$215="nulová",$N$215,0)</f>
        <v>0</v>
      </c>
      <c r="BJ215" s="6" t="s">
        <v>21</v>
      </c>
      <c r="BK215" s="81">
        <f>ROUND($L$215*$K$215,2)</f>
        <v>0</v>
      </c>
      <c r="BL215" s="6" t="s">
        <v>199</v>
      </c>
    </row>
    <row r="216" spans="2:64" s="6" customFormat="1" ht="27" customHeight="1">
      <c r="B216" s="22"/>
      <c r="C216" s="123" t="s">
        <v>319</v>
      </c>
      <c r="D216" s="123" t="s">
        <v>140</v>
      </c>
      <c r="E216" s="124" t="s">
        <v>320</v>
      </c>
      <c r="F216" s="199" t="s">
        <v>321</v>
      </c>
      <c r="G216" s="200"/>
      <c r="H216" s="200"/>
      <c r="I216" s="200"/>
      <c r="J216" s="125" t="s">
        <v>256</v>
      </c>
      <c r="K216" s="146">
        <v>0</v>
      </c>
      <c r="L216" s="201">
        <v>0</v>
      </c>
      <c r="M216" s="200"/>
      <c r="N216" s="202">
        <f>ROUND($L$216*$K$216,2)</f>
        <v>0</v>
      </c>
      <c r="O216" s="200"/>
      <c r="P216" s="200"/>
      <c r="Q216" s="200"/>
      <c r="R216" s="23"/>
      <c r="T216" s="127"/>
      <c r="U216" s="29" t="s">
        <v>43</v>
      </c>
      <c r="V216" s="128">
        <v>0</v>
      </c>
      <c r="W216" s="128">
        <f>$V$216*$K$216</f>
        <v>0</v>
      </c>
      <c r="X216" s="128">
        <v>0</v>
      </c>
      <c r="Y216" s="128">
        <f>$X$216*$K$216</f>
        <v>0</v>
      </c>
      <c r="Z216" s="128">
        <v>0</v>
      </c>
      <c r="AA216" s="129">
        <f>$Z$216*$K$216</f>
        <v>0</v>
      </c>
      <c r="AR216" s="6" t="s">
        <v>199</v>
      </c>
      <c r="AT216" s="6" t="s">
        <v>140</v>
      </c>
      <c r="AU216" s="6" t="s">
        <v>93</v>
      </c>
      <c r="AY216" s="6" t="s">
        <v>139</v>
      </c>
      <c r="BE216" s="81">
        <f>IF($U$216="základní",$N$216,0)</f>
        <v>0</v>
      </c>
      <c r="BF216" s="81">
        <f>IF($U$216="snížená",$N$216,0)</f>
        <v>0</v>
      </c>
      <c r="BG216" s="81">
        <f>IF($U$216="zákl. přenesená",$N$216,0)</f>
        <v>0</v>
      </c>
      <c r="BH216" s="81">
        <f>IF($U$216="sníž. přenesená",$N$216,0)</f>
        <v>0</v>
      </c>
      <c r="BI216" s="81">
        <f>IF($U$216="nulová",$N$216,0)</f>
        <v>0</v>
      </c>
      <c r="BJ216" s="6" t="s">
        <v>21</v>
      </c>
      <c r="BK216" s="81">
        <f>ROUND($L$216*$K$216,2)</f>
        <v>0</v>
      </c>
      <c r="BL216" s="6" t="s">
        <v>199</v>
      </c>
    </row>
    <row r="217" spans="2:63" s="113" customFormat="1" ht="30.75" customHeight="1">
      <c r="B217" s="114"/>
      <c r="D217" s="122" t="s">
        <v>113</v>
      </c>
      <c r="N217" s="215">
        <f>$BK$217</f>
        <v>0</v>
      </c>
      <c r="O217" s="214"/>
      <c r="P217" s="214"/>
      <c r="Q217" s="214"/>
      <c r="R217" s="117"/>
      <c r="T217" s="118"/>
      <c r="W217" s="119">
        <f>$W$218</f>
        <v>2.9185199999999996</v>
      </c>
      <c r="Y217" s="119">
        <f>$Y$218</f>
        <v>0</v>
      </c>
      <c r="AA217" s="120">
        <f>$AA$218</f>
        <v>0</v>
      </c>
      <c r="AR217" s="116" t="s">
        <v>93</v>
      </c>
      <c r="AT217" s="116" t="s">
        <v>77</v>
      </c>
      <c r="AU217" s="116" t="s">
        <v>21</v>
      </c>
      <c r="AY217" s="116" t="s">
        <v>139</v>
      </c>
      <c r="BK217" s="121">
        <f>$BK$218</f>
        <v>0</v>
      </c>
    </row>
    <row r="218" spans="2:64" s="6" customFormat="1" ht="27" customHeight="1">
      <c r="B218" s="22"/>
      <c r="C218" s="123" t="s">
        <v>322</v>
      </c>
      <c r="D218" s="123" t="s">
        <v>140</v>
      </c>
      <c r="E218" s="124" t="s">
        <v>323</v>
      </c>
      <c r="F218" s="199" t="s">
        <v>324</v>
      </c>
      <c r="G218" s="200"/>
      <c r="H218" s="200"/>
      <c r="I218" s="200"/>
      <c r="J218" s="125" t="s">
        <v>172</v>
      </c>
      <c r="K218" s="126">
        <v>4.02</v>
      </c>
      <c r="L218" s="201">
        <v>0</v>
      </c>
      <c r="M218" s="200"/>
      <c r="N218" s="202">
        <f>ROUND($L$218*$K$218,2)</f>
        <v>0</v>
      </c>
      <c r="O218" s="200"/>
      <c r="P218" s="200"/>
      <c r="Q218" s="200"/>
      <c r="R218" s="23"/>
      <c r="T218" s="127"/>
      <c r="U218" s="29" t="s">
        <v>43</v>
      </c>
      <c r="V218" s="128">
        <v>0.726</v>
      </c>
      <c r="W218" s="128">
        <f>$V$218*$K$218</f>
        <v>2.9185199999999996</v>
      </c>
      <c r="X218" s="128">
        <v>0</v>
      </c>
      <c r="Y218" s="128">
        <f>$X$218*$K$218</f>
        <v>0</v>
      </c>
      <c r="Z218" s="128">
        <v>0</v>
      </c>
      <c r="AA218" s="129">
        <f>$Z$218*$K$218</f>
        <v>0</v>
      </c>
      <c r="AR218" s="6" t="s">
        <v>199</v>
      </c>
      <c r="AT218" s="6" t="s">
        <v>140</v>
      </c>
      <c r="AU218" s="6" t="s">
        <v>93</v>
      </c>
      <c r="AY218" s="6" t="s">
        <v>139</v>
      </c>
      <c r="BE218" s="81">
        <f>IF($U$218="základní",$N$218,0)</f>
        <v>0</v>
      </c>
      <c r="BF218" s="81">
        <f>IF($U$218="snížená",$N$218,0)</f>
        <v>0</v>
      </c>
      <c r="BG218" s="81">
        <f>IF($U$218="zákl. přenesená",$N$218,0)</f>
        <v>0</v>
      </c>
      <c r="BH218" s="81">
        <f>IF($U$218="sníž. přenesená",$N$218,0)</f>
        <v>0</v>
      </c>
      <c r="BI218" s="81">
        <f>IF($U$218="nulová",$N$218,0)</f>
        <v>0</v>
      </c>
      <c r="BJ218" s="6" t="s">
        <v>21</v>
      </c>
      <c r="BK218" s="81">
        <f>ROUND($L$218*$K$218,2)</f>
        <v>0</v>
      </c>
      <c r="BL218" s="6" t="s">
        <v>199</v>
      </c>
    </row>
    <row r="219" spans="2:63" s="6" customFormat="1" ht="51" customHeight="1">
      <c r="B219" s="22"/>
      <c r="D219" s="115" t="s">
        <v>325</v>
      </c>
      <c r="N219" s="195">
        <f>$BK$219</f>
        <v>0</v>
      </c>
      <c r="O219" s="155"/>
      <c r="P219" s="155"/>
      <c r="Q219" s="155"/>
      <c r="R219" s="23"/>
      <c r="T219" s="57"/>
      <c r="AA219" s="58"/>
      <c r="AT219" s="6" t="s">
        <v>77</v>
      </c>
      <c r="AU219" s="6" t="s">
        <v>78</v>
      </c>
      <c r="AY219" s="6" t="s">
        <v>326</v>
      </c>
      <c r="BK219" s="81">
        <f>SUM($BK$220:$BK$224)</f>
        <v>0</v>
      </c>
    </row>
    <row r="220" spans="2:63" s="6" customFormat="1" ht="23.25" customHeight="1">
      <c r="B220" s="22"/>
      <c r="C220" s="147"/>
      <c r="D220" s="147" t="s">
        <v>140</v>
      </c>
      <c r="E220" s="148"/>
      <c r="F220" s="211"/>
      <c r="G220" s="212"/>
      <c r="H220" s="212"/>
      <c r="I220" s="212"/>
      <c r="J220" s="149"/>
      <c r="K220" s="146"/>
      <c r="L220" s="201"/>
      <c r="M220" s="200"/>
      <c r="N220" s="202">
        <f>$BK$220</f>
        <v>0</v>
      </c>
      <c r="O220" s="200"/>
      <c r="P220" s="200"/>
      <c r="Q220" s="200"/>
      <c r="R220" s="23"/>
      <c r="T220" s="127"/>
      <c r="U220" s="150" t="s">
        <v>43</v>
      </c>
      <c r="AA220" s="58"/>
      <c r="AT220" s="6" t="s">
        <v>326</v>
      </c>
      <c r="AU220" s="6" t="s">
        <v>21</v>
      </c>
      <c r="AY220" s="6" t="s">
        <v>326</v>
      </c>
      <c r="BE220" s="81">
        <f>IF($U$220="základní",$N$220,0)</f>
        <v>0</v>
      </c>
      <c r="BF220" s="81">
        <f>IF($U$220="snížená",$N$220,0)</f>
        <v>0</v>
      </c>
      <c r="BG220" s="81">
        <f>IF($U$220="zákl. přenesená",$N$220,0)</f>
        <v>0</v>
      </c>
      <c r="BH220" s="81">
        <f>IF($U$220="sníž. přenesená",$N$220,0)</f>
        <v>0</v>
      </c>
      <c r="BI220" s="81">
        <f>IF($U$220="nulová",$N$220,0)</f>
        <v>0</v>
      </c>
      <c r="BJ220" s="6" t="s">
        <v>21</v>
      </c>
      <c r="BK220" s="81">
        <f>$L$220*$K$220</f>
        <v>0</v>
      </c>
    </row>
    <row r="221" spans="2:63" s="6" customFormat="1" ht="23.25" customHeight="1">
      <c r="B221" s="22"/>
      <c r="C221" s="147"/>
      <c r="D221" s="147" t="s">
        <v>140</v>
      </c>
      <c r="E221" s="148"/>
      <c r="F221" s="211"/>
      <c r="G221" s="212"/>
      <c r="H221" s="212"/>
      <c r="I221" s="212"/>
      <c r="J221" s="149"/>
      <c r="K221" s="146"/>
      <c r="L221" s="201"/>
      <c r="M221" s="200"/>
      <c r="N221" s="202">
        <f>$BK$221</f>
        <v>0</v>
      </c>
      <c r="O221" s="200"/>
      <c r="P221" s="200"/>
      <c r="Q221" s="200"/>
      <c r="R221" s="23"/>
      <c r="T221" s="127"/>
      <c r="U221" s="150" t="s">
        <v>43</v>
      </c>
      <c r="AA221" s="58"/>
      <c r="AT221" s="6" t="s">
        <v>326</v>
      </c>
      <c r="AU221" s="6" t="s">
        <v>21</v>
      </c>
      <c r="AY221" s="6" t="s">
        <v>326</v>
      </c>
      <c r="BE221" s="81">
        <f>IF($U$221="základní",$N$221,0)</f>
        <v>0</v>
      </c>
      <c r="BF221" s="81">
        <f>IF($U$221="snížená",$N$221,0)</f>
        <v>0</v>
      </c>
      <c r="BG221" s="81">
        <f>IF($U$221="zákl. přenesená",$N$221,0)</f>
        <v>0</v>
      </c>
      <c r="BH221" s="81">
        <f>IF($U$221="sníž. přenesená",$N$221,0)</f>
        <v>0</v>
      </c>
      <c r="BI221" s="81">
        <f>IF($U$221="nulová",$N$221,0)</f>
        <v>0</v>
      </c>
      <c r="BJ221" s="6" t="s">
        <v>21</v>
      </c>
      <c r="BK221" s="81">
        <f>$L$221*$K$221</f>
        <v>0</v>
      </c>
    </row>
    <row r="222" spans="2:63" s="6" customFormat="1" ht="23.25" customHeight="1">
      <c r="B222" s="22"/>
      <c r="C222" s="147"/>
      <c r="D222" s="147" t="s">
        <v>140</v>
      </c>
      <c r="E222" s="148"/>
      <c r="F222" s="211"/>
      <c r="G222" s="212"/>
      <c r="H222" s="212"/>
      <c r="I222" s="212"/>
      <c r="J222" s="149"/>
      <c r="K222" s="146"/>
      <c r="L222" s="201"/>
      <c r="M222" s="200"/>
      <c r="N222" s="202">
        <f>$BK$222</f>
        <v>0</v>
      </c>
      <c r="O222" s="200"/>
      <c r="P222" s="200"/>
      <c r="Q222" s="200"/>
      <c r="R222" s="23"/>
      <c r="T222" s="127"/>
      <c r="U222" s="150" t="s">
        <v>43</v>
      </c>
      <c r="AA222" s="58"/>
      <c r="AT222" s="6" t="s">
        <v>326</v>
      </c>
      <c r="AU222" s="6" t="s">
        <v>21</v>
      </c>
      <c r="AY222" s="6" t="s">
        <v>326</v>
      </c>
      <c r="BE222" s="81">
        <f>IF($U$222="základní",$N$222,0)</f>
        <v>0</v>
      </c>
      <c r="BF222" s="81">
        <f>IF($U$222="snížená",$N$222,0)</f>
        <v>0</v>
      </c>
      <c r="BG222" s="81">
        <f>IF($U$222="zákl. přenesená",$N$222,0)</f>
        <v>0</v>
      </c>
      <c r="BH222" s="81">
        <f>IF($U$222="sníž. přenesená",$N$222,0)</f>
        <v>0</v>
      </c>
      <c r="BI222" s="81">
        <f>IF($U$222="nulová",$N$222,0)</f>
        <v>0</v>
      </c>
      <c r="BJ222" s="6" t="s">
        <v>21</v>
      </c>
      <c r="BK222" s="81">
        <f>$L$222*$K$222</f>
        <v>0</v>
      </c>
    </row>
    <row r="223" spans="2:63" s="6" customFormat="1" ht="23.25" customHeight="1">
      <c r="B223" s="22"/>
      <c r="C223" s="147"/>
      <c r="D223" s="147" t="s">
        <v>140</v>
      </c>
      <c r="E223" s="148"/>
      <c r="F223" s="211"/>
      <c r="G223" s="212"/>
      <c r="H223" s="212"/>
      <c r="I223" s="212"/>
      <c r="J223" s="149"/>
      <c r="K223" s="146"/>
      <c r="L223" s="201"/>
      <c r="M223" s="200"/>
      <c r="N223" s="202">
        <f>$BK$223</f>
        <v>0</v>
      </c>
      <c r="O223" s="200"/>
      <c r="P223" s="200"/>
      <c r="Q223" s="200"/>
      <c r="R223" s="23"/>
      <c r="T223" s="127"/>
      <c r="U223" s="150" t="s">
        <v>43</v>
      </c>
      <c r="AA223" s="58"/>
      <c r="AT223" s="6" t="s">
        <v>326</v>
      </c>
      <c r="AU223" s="6" t="s">
        <v>21</v>
      </c>
      <c r="AY223" s="6" t="s">
        <v>326</v>
      </c>
      <c r="BE223" s="81">
        <f>IF($U$223="základní",$N$223,0)</f>
        <v>0</v>
      </c>
      <c r="BF223" s="81">
        <f>IF($U$223="snížená",$N$223,0)</f>
        <v>0</v>
      </c>
      <c r="BG223" s="81">
        <f>IF($U$223="zákl. přenesená",$N$223,0)</f>
        <v>0</v>
      </c>
      <c r="BH223" s="81">
        <f>IF($U$223="sníž. přenesená",$N$223,0)</f>
        <v>0</v>
      </c>
      <c r="BI223" s="81">
        <f>IF($U$223="nulová",$N$223,0)</f>
        <v>0</v>
      </c>
      <c r="BJ223" s="6" t="s">
        <v>21</v>
      </c>
      <c r="BK223" s="81">
        <f>$L$223*$K$223</f>
        <v>0</v>
      </c>
    </row>
    <row r="224" spans="2:63" s="6" customFormat="1" ht="23.25" customHeight="1">
      <c r="B224" s="22"/>
      <c r="C224" s="147"/>
      <c r="D224" s="147" t="s">
        <v>140</v>
      </c>
      <c r="E224" s="148"/>
      <c r="F224" s="211"/>
      <c r="G224" s="212"/>
      <c r="H224" s="212"/>
      <c r="I224" s="212"/>
      <c r="J224" s="149"/>
      <c r="K224" s="146"/>
      <c r="L224" s="201"/>
      <c r="M224" s="200"/>
      <c r="N224" s="202">
        <f>$BK$224</f>
        <v>0</v>
      </c>
      <c r="O224" s="200"/>
      <c r="P224" s="200"/>
      <c r="Q224" s="200"/>
      <c r="R224" s="23"/>
      <c r="T224" s="127"/>
      <c r="U224" s="150" t="s">
        <v>43</v>
      </c>
      <c r="V224" s="41"/>
      <c r="W224" s="41"/>
      <c r="X224" s="41"/>
      <c r="Y224" s="41"/>
      <c r="Z224" s="41"/>
      <c r="AA224" s="43"/>
      <c r="AT224" s="6" t="s">
        <v>326</v>
      </c>
      <c r="AU224" s="6" t="s">
        <v>21</v>
      </c>
      <c r="AY224" s="6" t="s">
        <v>326</v>
      </c>
      <c r="BE224" s="81">
        <f>IF($U$224="základní",$N$224,0)</f>
        <v>0</v>
      </c>
      <c r="BF224" s="81">
        <f>IF($U$224="snížená",$N$224,0)</f>
        <v>0</v>
      </c>
      <c r="BG224" s="81">
        <f>IF($U$224="zákl. přenesená",$N$224,0)</f>
        <v>0</v>
      </c>
      <c r="BH224" s="81">
        <f>IF($U$224="sníž. přenesená",$N$224,0)</f>
        <v>0</v>
      </c>
      <c r="BI224" s="81">
        <f>IF($U$224="nulová",$N$224,0)</f>
        <v>0</v>
      </c>
      <c r="BJ224" s="6" t="s">
        <v>21</v>
      </c>
      <c r="BK224" s="81">
        <f>$L$224*$K$224</f>
        <v>0</v>
      </c>
    </row>
    <row r="225" spans="2:18" s="6" customFormat="1" ht="7.5" customHeight="1">
      <c r="B225" s="44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6"/>
    </row>
    <row r="226" s="2" customFormat="1" ht="14.25" customHeight="1"/>
  </sheetData>
  <sheetProtection/>
  <mergeCells count="284">
    <mergeCell ref="S2:AC2"/>
    <mergeCell ref="N185:Q185"/>
    <mergeCell ref="N190:Q190"/>
    <mergeCell ref="N206:Q206"/>
    <mergeCell ref="N217:Q217"/>
    <mergeCell ref="N219:Q219"/>
    <mergeCell ref="H1:K1"/>
    <mergeCell ref="F224:I224"/>
    <mergeCell ref="L224:M224"/>
    <mergeCell ref="N224:Q224"/>
    <mergeCell ref="N126:Q126"/>
    <mergeCell ref="N127:Q127"/>
    <mergeCell ref="N128:Q128"/>
    <mergeCell ref="N139:Q139"/>
    <mergeCell ref="N150:Q150"/>
    <mergeCell ref="N156:Q156"/>
    <mergeCell ref="N169:Q169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8:I218"/>
    <mergeCell ref="L218:M218"/>
    <mergeCell ref="N218:Q218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05:I205"/>
    <mergeCell ref="L205:M205"/>
    <mergeCell ref="N205:Q205"/>
    <mergeCell ref="F207:I207"/>
    <mergeCell ref="L207:M207"/>
    <mergeCell ref="N207:Q207"/>
    <mergeCell ref="F202:I202"/>
    <mergeCell ref="L202:M202"/>
    <mergeCell ref="N202:Q202"/>
    <mergeCell ref="F203:I203"/>
    <mergeCell ref="F204:I204"/>
    <mergeCell ref="L204:M204"/>
    <mergeCell ref="N204:Q204"/>
    <mergeCell ref="F198:I198"/>
    <mergeCell ref="L198:M198"/>
    <mergeCell ref="N198:Q198"/>
    <mergeCell ref="F199:I199"/>
    <mergeCell ref="F200:I200"/>
    <mergeCell ref="F201:I201"/>
    <mergeCell ref="F195:I195"/>
    <mergeCell ref="L195:M195"/>
    <mergeCell ref="N195:Q195"/>
    <mergeCell ref="F196:I196"/>
    <mergeCell ref="F197:I197"/>
    <mergeCell ref="L197:M197"/>
    <mergeCell ref="N197:Q197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F189:I189"/>
    <mergeCell ref="L189:M189"/>
    <mergeCell ref="N189:Q189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2:I182"/>
    <mergeCell ref="F183:I183"/>
    <mergeCell ref="L183:M183"/>
    <mergeCell ref="N183:Q183"/>
    <mergeCell ref="F184:I184"/>
    <mergeCell ref="L184:M184"/>
    <mergeCell ref="N184:Q184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4:I174"/>
    <mergeCell ref="L174:M174"/>
    <mergeCell ref="N174:Q174"/>
    <mergeCell ref="F177:I177"/>
    <mergeCell ref="L177:M177"/>
    <mergeCell ref="N177:Q177"/>
    <mergeCell ref="N175:Q175"/>
    <mergeCell ref="N176:Q176"/>
    <mergeCell ref="F171:I171"/>
    <mergeCell ref="L171:M171"/>
    <mergeCell ref="N171:Q171"/>
    <mergeCell ref="F172:I172"/>
    <mergeCell ref="F173:I173"/>
    <mergeCell ref="L173:M173"/>
    <mergeCell ref="N173:Q173"/>
    <mergeCell ref="F168:I168"/>
    <mergeCell ref="L168:M168"/>
    <mergeCell ref="N168:Q168"/>
    <mergeCell ref="F170:I170"/>
    <mergeCell ref="L170:M170"/>
    <mergeCell ref="N170:Q170"/>
    <mergeCell ref="F164:I164"/>
    <mergeCell ref="F165:I165"/>
    <mergeCell ref="L165:M165"/>
    <mergeCell ref="N165:Q165"/>
    <mergeCell ref="F166:I166"/>
    <mergeCell ref="F167:I167"/>
    <mergeCell ref="F162:I162"/>
    <mergeCell ref="L162:M162"/>
    <mergeCell ref="N162:Q162"/>
    <mergeCell ref="F163:I163"/>
    <mergeCell ref="L163:M163"/>
    <mergeCell ref="N163:Q163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4:I154"/>
    <mergeCell ref="F155:I155"/>
    <mergeCell ref="L155:M155"/>
    <mergeCell ref="N155:Q155"/>
    <mergeCell ref="F157:I157"/>
    <mergeCell ref="L157:M157"/>
    <mergeCell ref="N157:Q157"/>
    <mergeCell ref="F151:I151"/>
    <mergeCell ref="L151:M151"/>
    <mergeCell ref="N151:Q151"/>
    <mergeCell ref="F152:I152"/>
    <mergeCell ref="F153:I153"/>
    <mergeCell ref="L153:M153"/>
    <mergeCell ref="N153:Q153"/>
    <mergeCell ref="F147:I147"/>
    <mergeCell ref="L147:M147"/>
    <mergeCell ref="N147:Q147"/>
    <mergeCell ref="F148:I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6:I136"/>
    <mergeCell ref="F137:I137"/>
    <mergeCell ref="L137:M137"/>
    <mergeCell ref="N137:Q137"/>
    <mergeCell ref="F138:I138"/>
    <mergeCell ref="F140:I140"/>
    <mergeCell ref="L140:M140"/>
    <mergeCell ref="N140:Q140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9:I129"/>
    <mergeCell ref="L129:M129"/>
    <mergeCell ref="N129:Q129"/>
    <mergeCell ref="F130:I130"/>
    <mergeCell ref="F131:I131"/>
    <mergeCell ref="L131:M131"/>
    <mergeCell ref="N131:Q131"/>
    <mergeCell ref="C116:Q116"/>
    <mergeCell ref="F118:P118"/>
    <mergeCell ref="M120:P120"/>
    <mergeCell ref="M122:Q122"/>
    <mergeCell ref="M123:Q123"/>
    <mergeCell ref="F125:I125"/>
    <mergeCell ref="L125:M125"/>
    <mergeCell ref="N125:Q125"/>
    <mergeCell ref="D106:H106"/>
    <mergeCell ref="N106:Q106"/>
    <mergeCell ref="D107:H107"/>
    <mergeCell ref="N107:Q107"/>
    <mergeCell ref="N108:Q108"/>
    <mergeCell ref="L110:Q110"/>
    <mergeCell ref="N102:Q102"/>
    <mergeCell ref="D103:H103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20:D225">
      <formula1>"K,M"</formula1>
    </dataValidation>
    <dataValidation type="list" allowBlank="1" showInputMessage="1" showErrorMessage="1" error="Povoleny jsou hodnoty základní, snížená, zákl. přenesená, sníž. přenesená, nulová." sqref="U220:U22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2013-11-29T13:22:48Z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