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327 a - Sklepní kóje čp...." sheetId="2" r:id="rId2"/>
    <sheet name="1327 b - Sklepní kóje čp...." sheetId="3" r:id="rId3"/>
    <sheet name="1327 c - Sklepní kóje čp...." sheetId="4" r:id="rId4"/>
    <sheet name="1327 d - Sklepní kóje čp...." sheetId="5" r:id="rId5"/>
    <sheet name="1327 f - Sklepní kóje čp...." sheetId="6" r:id="rId6"/>
    <sheet name="1327 e - Sklepní kóje čp...." sheetId="7" r:id="rId7"/>
  </sheets>
  <definedNames>
    <definedName name="_xlnm.Print_Titles" localSheetId="1">'1327 a - Sklepní kóje čp....'!$126:$126</definedName>
    <definedName name="_xlnm.Print_Titles" localSheetId="2">'1327 b - Sklepní kóje čp....'!$124:$124</definedName>
    <definedName name="_xlnm.Print_Titles" localSheetId="3">'1327 c - Sklepní kóje čp....'!$126:$126</definedName>
    <definedName name="_xlnm.Print_Titles" localSheetId="4">'1327 d - Sklepní kóje čp....'!$124:$124</definedName>
    <definedName name="_xlnm.Print_Titles" localSheetId="6">'1327 e - Sklepní kóje čp....'!$126:$126</definedName>
    <definedName name="_xlnm.Print_Titles" localSheetId="5">'1327 f - Sklepní kóje čp....'!$124:$124</definedName>
    <definedName name="_xlnm.Print_Titles" localSheetId="0">'Rekapitulace stavby'!$85:$85</definedName>
    <definedName name="_xlnm.Print_Area" localSheetId="1">'1327 a - Sklepní kóje čp....'!$C$4:$Q$70,'1327 a - Sklepní kóje čp....'!$C$76:$Q$110,'1327 a - Sklepní kóje čp....'!$C$116:$Q$204</definedName>
    <definedName name="_xlnm.Print_Area" localSheetId="2">'1327 b - Sklepní kóje čp....'!$C$4:$Q$70,'1327 b - Sklepní kóje čp....'!$C$76:$Q$108,'1327 b - Sklepní kóje čp....'!$C$114:$Q$201</definedName>
    <definedName name="_xlnm.Print_Area" localSheetId="3">'1327 c - Sklepní kóje čp....'!$C$4:$Q$70,'1327 c - Sklepní kóje čp....'!$C$76:$Q$110,'1327 c - Sklepní kóje čp....'!$C$116:$Q$213</definedName>
    <definedName name="_xlnm.Print_Area" localSheetId="4">'1327 d - Sklepní kóje čp....'!$C$4:$Q$70,'1327 d - Sklepní kóje čp....'!$C$76:$Q$108,'1327 d - Sklepní kóje čp....'!$C$114:$Q$191</definedName>
    <definedName name="_xlnm.Print_Area" localSheetId="6">'1327 e - Sklepní kóje čp....'!$C$4:$Q$70,'1327 e - Sklepní kóje čp....'!$C$76:$Q$110,'1327 e - Sklepní kóje čp....'!$C$116:$Q$204</definedName>
    <definedName name="_xlnm.Print_Area" localSheetId="5">'1327 f - Sklepní kóje čp....'!$C$4:$Q$70,'1327 f - Sklepní kóje čp....'!$C$76:$Q$108,'1327 f - Sklepní kóje čp....'!$C$114:$Q$186</definedName>
    <definedName name="_xlnm.Print_Area" localSheetId="0">'Rekapitulace stavby'!$C$4:$AP$70,'Rekapitulace stavby'!$C$76:$AP$110</definedName>
  </definedNames>
  <calcPr fullCalcOnLoad="1"/>
</workbook>
</file>

<file path=xl/sharedStrings.xml><?xml version="1.0" encoding="utf-8"?>
<sst xmlns="http://schemas.openxmlformats.org/spreadsheetml/2006/main" count="5122" uniqueCount="435">
  <si>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</si>
  <si>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</si>
  <si>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</si>
  <si>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</si>
  <si>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</si>
  <si>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</si>
  <si>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</si>
  <si>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</si>
  <si>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</si>
  <si>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</si>
  <si>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</si>
  <si>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</si>
  <si>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</si>
  <si>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</si>
  <si>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</si>
  <si>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1327 - Stavební úpravy stávajícího objektu - rozdělení sklepních kójí</t>
  </si>
  <si>
    <t>0,1</t>
  </si>
  <si>
    <t>1</t>
  </si>
  <si>
    <t>Místo:</t>
  </si>
  <si>
    <t>Kolín II, Benešova čp. 636 - 641</t>
  </si>
  <si>
    <t>Datum:</t>
  </si>
  <si>
    <t>08.07.2013</t>
  </si>
  <si>
    <t>10</t>
  </si>
  <si>
    <t>100</t>
  </si>
  <si>
    <t>Objednavatel:</t>
  </si>
  <si>
    <t>IČ:</t>
  </si>
  <si>
    <t>Město Kolín, Karlovo náměstí 78, 280 02 Kolín 1</t>
  </si>
  <si>
    <t>DIČ:</t>
  </si>
  <si>
    <t>Zhotovitel:</t>
  </si>
  <si>
    <t>Vyplň údaj</t>
  </si>
  <si>
    <t>Projektant:</t>
  </si>
  <si>
    <t>Ing. Karel Vrátný, Rubešova 60, 280 02 Kolín</t>
  </si>
  <si>
    <t>True</t>
  </si>
  <si>
    <t>Zpracovatel:</t>
  </si>
  <si>
    <t>10251120</t>
  </si>
  <si>
    <t>CZ531005056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</si>
  <si>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</si>
  <si>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</si>
  <si>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</si>
  <si>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</si>
  <si>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</si>
  <si>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</si>
  <si>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</si>
  <si>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</si>
  <si>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</si>
  <si>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</si>
  <si>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</si>
  <si>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</si>
  <si>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</si>
  <si>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</si>
  <si>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</si>
  <si>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</si>
  <si>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</si>
  <si>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</si>
  <si>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</si>
  <si>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</si>
  <si>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</si>
  <si>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</si>
  <si>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</si>
  <si>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</si>
  <si>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</si>
  <si>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</si>
  <si>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</si>
  <si>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</si>
  <si>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</si>
  <si>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</si>
  <si>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</si>
  <si>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</si>
  <si>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</si>
  <si>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</si>
  <si>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</si>
  <si>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</si>
  <si>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</si>
  <si>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</si>
  <si>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</si>
  <si>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</si>
  <si>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</si>
  <si>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</si>
  <si>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{5C6BF8D3-E11F-4546-B4DA-BAB380C76454}</t>
  </si>
  <si>
    <t>{00000000-0000-0000-0000-000000000000}</t>
  </si>
  <si>
    <t>1327 a</t>
  </si>
  <si>
    <t>Sklepní kóje čp. 641</t>
  </si>
  <si>
    <t>{DB92C335-0D8C-4E83-8B59-BEB61FEDDF98}</t>
  </si>
  <si>
    <t>1327 b</t>
  </si>
  <si>
    <t>Sklepní kóje čp. 640</t>
  </si>
  <si>
    <t>{5E7FFEE1-0EAA-4367-8C75-09662A4AD1A3}</t>
  </si>
  <si>
    <t>1327 c</t>
  </si>
  <si>
    <t>Sklepní kóje čp. 639</t>
  </si>
  <si>
    <t>{0CD4541D-8843-4F8C-A75B-0C1CF3B40BC7}</t>
  </si>
  <si>
    <t>1327 d</t>
  </si>
  <si>
    <t>Sklepní kóje čp. 638</t>
  </si>
  <si>
    <t>{63F8F6BE-F539-42BD-8943-98ADD9AED05E}</t>
  </si>
  <si>
    <t>1327 f</t>
  </si>
  <si>
    <t>Sklepní kóje čp. 636</t>
  </si>
  <si>
    <t>{9E4AF1A4-F357-40B9-AC3E-7A84241C1640}</t>
  </si>
  <si>
    <t>1327 e</t>
  </si>
  <si>
    <t>Sklepní kóje čp. 637</t>
  </si>
  <si>
    <t>{F034E8B6-534C-4B24-9B80-B123645EB95E}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</si>
  <si>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</si>
  <si>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</si>
  <si>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</si>
  <si>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</si>
  <si>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</si>
  <si>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</si>
  <si>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</si>
  <si>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</si>
  <si>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</si>
  <si>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</si>
  <si>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</si>
  <si>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</si>
  <si>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</si>
  <si>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</si>
  <si>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</si>
  <si>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</si>
  <si>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</si>
  <si>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</si>
  <si>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</si>
  <si>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KRYCÍ LIST ROZPOČTU</t>
  </si>
  <si>
    <t>Objekt:</t>
  </si>
  <si>
    <t>1327 a - Sklepní kóje čp. 641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</si>
  <si>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</si>
  <si>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</si>
  <si>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</si>
  <si>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</si>
  <si>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</si>
  <si>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</si>
  <si>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</si>
  <si>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</si>
  <si>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</si>
  <si>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</si>
  <si>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</si>
  <si>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</si>
  <si>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722 - Zdravotechnika - vnitřní vodovod</t>
  </si>
  <si>
    <t xml:space="preserve">    725 - Zdravotechnika - zařizovací předměty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</si>
  <si>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</si>
  <si>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</si>
  <si>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</si>
  <si>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>VP -   Vícepráce</t>
  </si>
  <si>
    <t>2) Ostatní náklady</t>
  </si>
  <si>
    <t>Zařízení staveniště</t>
  </si>
  <si>
    <t>VRN</t>
  </si>
  <si>
    <t>2</t>
  </si>
  <si>
    <t>Mimostav. doprava</t>
  </si>
  <si>
    <t>Územní vlivy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</si>
  <si>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</si>
  <si>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</si>
  <si>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</si>
  <si>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</si>
  <si>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</si>
  <si>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</si>
  <si>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</si>
  <si>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</si>
  <si>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</si>
  <si>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</si>
  <si>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</si>
  <si>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</si>
  <si>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</si>
  <si>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</si>
  <si>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</si>
  <si>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</si>
  <si>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</si>
  <si>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</si>
  <si>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</si>
  <si>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</si>
  <si>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</si>
  <si>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</si>
  <si>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</si>
  <si>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</si>
  <si>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</si>
  <si>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342272323</t>
  </si>
  <si>
    <t>Příčky tl 100 mm z pórobetonových přesných hladkých příčkovek objemové hmotnosti 500 kg/m3</t>
  </si>
  <si>
    <t>m2</t>
  </si>
  <si>
    <t>2,8*1,2-0,9*1,97</t>
  </si>
  <si>
    <t>VV</t>
  </si>
  <si>
    <t>3</t>
  </si>
  <si>
    <t>342291111</t>
  </si>
  <si>
    <t>Ukotvení příček montážní polyuretanovou pěnou tl příčky do 100 mm</t>
  </si>
  <si>
    <t>m</t>
  </si>
  <si>
    <t>2,8*2</t>
  </si>
  <si>
    <t>612311141</t>
  </si>
  <si>
    <t>Vápenná omítka štuková dvouvrstvá vnitřních stěn nanášená ručně</t>
  </si>
  <si>
    <t>1,587</t>
  </si>
  <si>
    <t>5</t>
  </si>
  <si>
    <t>612321141</t>
  </si>
  <si>
    <t>Vápenocementová omítka štuková dvouvrstvá vnitřních stěn nanášená ručně</t>
  </si>
  <si>
    <t>2,758*2"po zazdění otvorů dveří</t>
  </si>
  <si>
    <t>6</t>
  </si>
  <si>
    <t>642944121</t>
  </si>
  <si>
    <t>Osazování ocelových zárubní pl do 2,5 m2</t>
  </si>
  <si>
    <t>7</t>
  </si>
  <si>
    <t>M</t>
  </si>
  <si>
    <t>553311150</t>
  </si>
  <si>
    <t>zárubeň ocelová pro běžné zdění H 110 700 L/P</t>
  </si>
  <si>
    <t>8</t>
  </si>
  <si>
    <t>553311190</t>
  </si>
  <si>
    <t>zárubeň ocelová pro běžné zdění H 110 900 L/P</t>
  </si>
  <si>
    <t>9</t>
  </si>
  <si>
    <t>64494R001</t>
  </si>
  <si>
    <t>Dopdávka + osazování ventilačních mřížek velikosti do 150 x 150 mm (po dvou kusech)</t>
  </si>
  <si>
    <t>952901111</t>
  </si>
  <si>
    <t>Vyčištění budov bytové a občanské výstavby při výšce podlaží do 4 m</t>
  </si>
  <si>
    <t>11</t>
  </si>
  <si>
    <t>962031132</t>
  </si>
  <si>
    <t>Bourání příček z cihel pálených na MVC tl do 100 mm</t>
  </si>
  <si>
    <t>1*2,8-0,6*1,97</t>
  </si>
  <si>
    <t>12</t>
  </si>
  <si>
    <t>968072455</t>
  </si>
  <si>
    <t>Vybourání kovových dveřních zárubní pl do 2 m2</t>
  </si>
  <si>
    <t>0,6*1,97+0,7*1,97</t>
  </si>
  <si>
    <t>13</t>
  </si>
  <si>
    <t>971033621</t>
  </si>
  <si>
    <t>Vybourání otvorů ve zdivu cihelném pl do 4 m2 na MVC nebo MV tl do 100 mm</t>
  </si>
  <si>
    <t>0,7*1,97*2"pro dveře</t>
  </si>
  <si>
    <t>14</t>
  </si>
  <si>
    <t>997002611</t>
  </si>
  <si>
    <t>Nakládání suti a vybouraných hmot</t>
  </si>
  <si>
    <t>t</t>
  </si>
  <si>
    <t>997013501</t>
  </si>
  <si>
    <t>Odvoz suti na skládku a vybouraných hmot nebo meziskládku do 1 km se složením</t>
  </si>
  <si>
    <t>16</t>
  </si>
  <si>
    <t>997013509</t>
  </si>
  <si>
    <t>Příplatek k odvozu suti a vybouraných hmot na skládku ZKD 1 km přes 1 km</t>
  </si>
  <si>
    <t>1,151*18</t>
  </si>
  <si>
    <t>17</t>
  </si>
  <si>
    <t>997013831</t>
  </si>
  <si>
    <t>Poplatek za uložení stavebního směsného odpadu na skládce (skládkovné)</t>
  </si>
  <si>
    <t>18</t>
  </si>
  <si>
    <t>998011002</t>
  </si>
  <si>
    <t>Přesun hmot pro budovy zděné v do 12 m</t>
  </si>
  <si>
    <t>19</t>
  </si>
  <si>
    <t>722190901</t>
  </si>
  <si>
    <t>Uzavření nebo otevření vodovodního potrubí při opravách</t>
  </si>
  <si>
    <t>20</t>
  </si>
  <si>
    <t>72219R001</t>
  </si>
  <si>
    <t>Demontáž vodovodního rozvodu, zaslepení</t>
  </si>
  <si>
    <t>72219R002</t>
  </si>
  <si>
    <t>Úpravy kanalizace, zaslepení</t>
  </si>
  <si>
    <t>22</t>
  </si>
  <si>
    <t>998722202</t>
  </si>
  <si>
    <t>Přesun hmot procentní pro vnitřní vodovod v objektech v do 12 m</t>
  </si>
  <si>
    <t>%</t>
  </si>
  <si>
    <t>23</t>
  </si>
  <si>
    <t>725110811</t>
  </si>
  <si>
    <t>Demontáž klozetů splachovací s nádrží</t>
  </si>
  <si>
    <t>soubor</t>
  </si>
  <si>
    <t>24</t>
  </si>
  <si>
    <t>725210821</t>
  </si>
  <si>
    <t>Demontáž umyvadel bez výtokových armatur</t>
  </si>
  <si>
    <t>25</t>
  </si>
  <si>
    <t>725820801</t>
  </si>
  <si>
    <t>Demontáž baterie nástěnné do G 3 / 4</t>
  </si>
  <si>
    <t>26</t>
  </si>
  <si>
    <t>725860811</t>
  </si>
  <si>
    <t>Demontáž uzávěrů zápachu jednoduchých</t>
  </si>
  <si>
    <t>27</t>
  </si>
  <si>
    <t>998725202</t>
  </si>
  <si>
    <t>Přesun hmot procentní pro zařizovací předměty v objektech v do 12 m</t>
  </si>
  <si>
    <t>28</t>
  </si>
  <si>
    <t>766660722</t>
  </si>
  <si>
    <t>Montáž dveřního kování</t>
  </si>
  <si>
    <t>29</t>
  </si>
  <si>
    <t>549264R</t>
  </si>
  <si>
    <t>kování dveří</t>
  </si>
  <si>
    <t>32</t>
  </si>
  <si>
    <t>30</t>
  </si>
  <si>
    <t>766691914</t>
  </si>
  <si>
    <t>Vyvěšení nebo zavěšení dřevěných křídel dveří pl do 2 m2</t>
  </si>
  <si>
    <t>31</t>
  </si>
  <si>
    <t>611601620</t>
  </si>
  <si>
    <t>dveře dřevěné vnitřní hladké plné 1křídlové bílé solo 70x197 cm</t>
  </si>
  <si>
    <t>611602220</t>
  </si>
  <si>
    <t>dveře dřevěné vnitřní hladké plné 1křídlové 90x197 EW 30 DP1</t>
  </si>
  <si>
    <t>33</t>
  </si>
  <si>
    <t>998766202</t>
  </si>
  <si>
    <t>Přesun hmot procentní pro konstrukce truhlářské v objektech v do 12 m</t>
  </si>
  <si>
    <t>34</t>
  </si>
  <si>
    <t>783222100</t>
  </si>
  <si>
    <t>Nátěry syntetické kovových doplňkových konstrukcí barva standardní dvojnásobné</t>
  </si>
  <si>
    <t>14,848+2,784"zárubně</t>
  </si>
  <si>
    <t>35</t>
  </si>
  <si>
    <t>783624200</t>
  </si>
  <si>
    <t>Nátěry syntetické truhlářských konstrukcí barva standardní dvojnásobné, 2x email a 1x tmel"dveřní křídla</t>
  </si>
  <si>
    <t>36</t>
  </si>
  <si>
    <t>783903811</t>
  </si>
  <si>
    <t>Odmaštění nátěrů chemickými rozpouštědly</t>
  </si>
  <si>
    <t>(2*1,97+0,7)*(0,1+2*0,05)*16</t>
  </si>
  <si>
    <t>Součet</t>
  </si>
  <si>
    <t>37</t>
  </si>
  <si>
    <t>783903812</t>
  </si>
  <si>
    <t>Odmaštění nátěrů saponáty</t>
  </si>
  <si>
    <t>0,75*1,995*2*16</t>
  </si>
  <si>
    <t>38</t>
  </si>
  <si>
    <t>784111011</t>
  </si>
  <si>
    <t>Obroušení podkladu omítnutého v místnostech výšky do 3,80 m</t>
  </si>
  <si>
    <t>2,8*2*(4,1+8,3+3,2+4,1+2+2,7-3,4+8,1+1+0,3*2+2,4+4,2+4,2+5,8+4,4+7+3)</t>
  </si>
  <si>
    <t>2,8*6,6+2,8*(1,8*4+0,6*2+5,5+5,8*3+1,5*4)-1,2*2,8-2,8*1,2*2</t>
  </si>
  <si>
    <t>Mezisoučet stěny</t>
  </si>
  <si>
    <t>133,688 "strop</t>
  </si>
  <si>
    <t>39</t>
  </si>
  <si>
    <t>784171111</t>
  </si>
  <si>
    <t>Zakrytí vnitřních ploch stěn v místnostech výšky do 3,80 m</t>
  </si>
  <si>
    <t>40</t>
  </si>
  <si>
    <t>581248440</t>
  </si>
  <si>
    <t>fólie pro malířské potřeby zakrývací, PG 4021-20, 25µ,  4 x 5 m</t>
  </si>
  <si>
    <t>41</t>
  </si>
  <si>
    <t>784181101</t>
  </si>
  <si>
    <t>Základní akrylátová jednonásobná penetrace podkladu v místnostech výšky do 3,80m</t>
  </si>
  <si>
    <t>42</t>
  </si>
  <si>
    <t>784191007</t>
  </si>
  <si>
    <t>Čištění vnitřních ploch podlah po provedení malířských prací</t>
  </si>
  <si>
    <t>43</t>
  </si>
  <si>
    <t>784211001</t>
  </si>
  <si>
    <t>Jednonásobné bílé malby ze směsí za mokra výborně otěruvzdorných v místnostech výšky do 3,80 m</t>
  </si>
  <si>
    <t>VP - Vícepráce</t>
  </si>
  <si>
    <t>PN</t>
  </si>
  <si>
    <t>1327 b - Sklepní kóje čp. 640</t>
  </si>
  <si>
    <t>340239212</t>
  </si>
  <si>
    <t>Zazdívka otvorů pl do 4 m2 v příčkách nebo stěnách z cihel tl přes 100 mm</t>
  </si>
  <si>
    <t>0,7*1,97*2"po vyb. dveřích</t>
  </si>
  <si>
    <t>2,8*1,2-0,9*1,97+2,8*(1,7*2+1+6,5)-0,7*1,97*3+2,8*(2+2,9+1+6,5)-0,7*1,97</t>
  </si>
  <si>
    <t>2,8*2+2,8*5</t>
  </si>
  <si>
    <t>(1,2*2,8-0,9*1,97)*2</t>
  </si>
  <si>
    <t>Osazování ocelových zárubní  pl do 2,5 m2</t>
  </si>
  <si>
    <t>Dodávka + osazení ventilačních mřížek velikosti do 150 x 150 mm do sklepních kójí (po 2 kusech)</t>
  </si>
  <si>
    <t>6,6*1,2+1,9*1,6+1,5*2+2*(1,5+1,6)+0,8*0,6+1,7*1,7+1,9*1,7*2</t>
  </si>
  <si>
    <t>0,8*1+1,2*6,6+0,95*0,8+1,9*2,9+1,975*2,9+2,9*1,925-0,5*0,4-0,3*1,1</t>
  </si>
  <si>
    <t>0,8*1,9+6,6*2+1,2*7,2+1,6*2,8+1,9*(1,8+1,3+1,4)+1,8*4,2-0,3*0,3*2</t>
  </si>
  <si>
    <t>4,8*0,8+6,4*10,2-0,3*0,3-0,6*0,3+7,6*6,5-0,3*0,3+1,6*6+2,4*3,4+2,4*1,2*2-0,3*1</t>
  </si>
  <si>
    <t>1,2*2,4+2,2*1,1*1,3</t>
  </si>
  <si>
    <t>0,7*1,97*2</t>
  </si>
  <si>
    <t>0,595*18</t>
  </si>
  <si>
    <t>(2*1,97+0,7)*(0,1+2*0,05)*22+(2*1,97+0,9)*(0,1+2*0,05)*1</t>
  </si>
  <si>
    <t>2*0,75*1,995*16</t>
  </si>
  <si>
    <t>246,936"strop</t>
  </si>
  <si>
    <t>Mezisoučet strop</t>
  </si>
  <si>
    <t>2,8*2*(6,8+6,6*2+11,4+4,4+3+18+6,4*2+0,3*4+1,2+11,2+4,8+11,4+18)</t>
  </si>
  <si>
    <t>2,8*(5,6*8+1,8+2*4+1,2+1,7*4+2*2+2,9*4+0,3+3*7+6,6*2+3*2+2,4*2+2,5*2)-133,12</t>
  </si>
  <si>
    <t>Zakrytí vnitřních ploch v místnostech výšky do 3,80 m</t>
  </si>
  <si>
    <t xml:space="preserve">0,9*2*1+0,7*2*22"dveře </t>
  </si>
  <si>
    <t>1*0,6*13"okna</t>
  </si>
  <si>
    <t>991,54+246,936</t>
  </si>
  <si>
    <t>1327 c - Sklepní kóje čp. 639</t>
  </si>
  <si>
    <t xml:space="preserve">    721 - Zdravotechnika - vnitřní kanalizace</t>
  </si>
  <si>
    <t>2,8*1,2-0,9*1,97+2,8*(1,025+0,8+1,025+4,1+2,4+1,3+2,35+2,1+0,1*2)-0,7*1,97*6</t>
  </si>
  <si>
    <t>2,8*2+2,8*8</t>
  </si>
  <si>
    <t>611311141</t>
  </si>
  <si>
    <t>Vápenná omítka štuková dvouvrstvá vnitřních stropů rovných nanášená ručně</t>
  </si>
  <si>
    <t>1,587*2+87,661+2,8*(2,1+2,35+1,025*2+0,8+0,9+4,6+1,025*2+4,2+3+2,55+6+1,3*3+1+2,4)-0,7*1,97*12</t>
  </si>
  <si>
    <t>Dodávka + osazování ventilačních mřížek velikosti do 150 x 150 mm (po 2 kusech)</t>
  </si>
  <si>
    <t>1,2*2,8*2+2*1,6+3*1,2+2,8*2,2+2*1,4+1,4*2+1,6*1,8+2,5*2,9</t>
  </si>
  <si>
    <t>2,7*2+2*1,2+2,1*1,025+2,35*1,025+1,35*4,4+2,5*2,3+3*1,025</t>
  </si>
  <si>
    <t>1,025*2,85+1*3,1+2,7*1,3+3*2,4+2*1,2+2*1,2+2,4*3,2+2*1,6</t>
  </si>
  <si>
    <t>2,1*4,1+4,2*2,4+4,1*3+2,9*1+1,1*2,2*1,3</t>
  </si>
  <si>
    <t>2,6*(7+6+1,4*3+1,1+1,1+0,8+5,9)</t>
  </si>
  <si>
    <t>0,6*1,97*7</t>
  </si>
  <si>
    <t>978011191</t>
  </si>
  <si>
    <t>Otlučení vnitřních omítek MV nebo MVC stropů o rozsahu do 100 %</t>
  </si>
  <si>
    <t>3,6*7+6,2*2,4</t>
  </si>
  <si>
    <t>978013191</t>
  </si>
  <si>
    <t>Otlučení vnitřních omítek stěn MV nebo MVC stěn v rozsahu do 100 %</t>
  </si>
  <si>
    <t>2,8*(5,9*2+9,7*2+0,2*2+0,1*2)-0,7*1,97</t>
  </si>
  <si>
    <t>16,014*18</t>
  </si>
  <si>
    <t>72110R001</t>
  </si>
  <si>
    <t>Vodovod, kanalizace - úpravy při osazování nových zařiz. předmětů</t>
  </si>
  <si>
    <t>998721202</t>
  </si>
  <si>
    <t>Přesun hmot procentní pro vnitřní kanalizace v objektech v do 12 m</t>
  </si>
  <si>
    <t>725112171</t>
  </si>
  <si>
    <t>Kombi klozet s hlubokým splachováním odpad vodorovný</t>
  </si>
  <si>
    <t>725211602</t>
  </si>
  <si>
    <t>Umyvadlo keramické připevněné na stěnu šrouby bílé bez krytu na sifon 550 mm</t>
  </si>
  <si>
    <t>725822633</t>
  </si>
  <si>
    <t>Baterie umyvadlové stojánkové klasické s výpusti</t>
  </si>
  <si>
    <t>7,146+0,532"zárubně</t>
  </si>
  <si>
    <t>0,75*1,995*2*14+0,98*1,995*2</t>
  </si>
  <si>
    <t>701,606-40,08-87,661</t>
  </si>
  <si>
    <t xml:space="preserve">0,9*1,97*2+0,7*1,97*39"dveře </t>
  </si>
  <si>
    <t>1*0,6*7"okna</t>
  </si>
  <si>
    <t>2,8*2*(14,4+4,2*3+9,6+7+1,3+1,2+4,2*2+2+2+3,2+3,1+4,2+2,3)</t>
  </si>
  <si>
    <t>2,8*(2,9*4+2+2,4*2+1,4*2+3*2+2*2+4,2+1,5+1,2+1,25*2+0,7+4,6*2+6*2+1,3*2+2,4*2+1,025*4+2,7+2,8)</t>
  </si>
  <si>
    <t>Mezisoučet</t>
  </si>
  <si>
    <t>133,688"strop</t>
  </si>
  <si>
    <t>44</t>
  </si>
  <si>
    <t>45</t>
  </si>
  <si>
    <t>1327 d - Sklepní kóje čp. 638</t>
  </si>
  <si>
    <t xml:space="preserve">    99 - Přesun hmot</t>
  </si>
  <si>
    <t>2,8*1,2-0,9*1,97+2,8*(1,55*2+1,4+1,5+1,3+1,15+2,2+2)-0,7*1,97*5</t>
  </si>
  <si>
    <t>2,8*2+2,8*7</t>
  </si>
  <si>
    <t>1,587*2+2,8*(1,55*4+1,3+1,4+1,3+1,4+1,5+1,3+1,15*2+2,1+2+2,2+2)-0,7*1,97*10</t>
  </si>
  <si>
    <t>1,2*2,8+2,8*1,2+1,6*1,5+3*1,2+2*1,3+1,4*4,1+3*2,8</t>
  </si>
  <si>
    <t>2,8*(1,1*4+1,6)-0,2*1*2+10,1*1,2+4,1*(2,6+3,1+3,1)</t>
  </si>
  <si>
    <t>6,8*3,2+1,55*1,3*2+1,4+4,2*1,2+1,15*2+2,1+2,4*1,2*2+1,1*2,2*1,3</t>
  </si>
  <si>
    <t>1,046*18</t>
  </si>
  <si>
    <t>766111820</t>
  </si>
  <si>
    <t>Demontáž truhlářských stěn dřevěných plných vč. dvířek</t>
  </si>
  <si>
    <t>2,6*(1,6*2+1,2+4,2*2)</t>
  </si>
  <si>
    <t>2,8*2*(10,1+2,4+5,7+4*2+3+4,1+2,7+3,1+3,1+6,8+4,1*4+2,2+1*2+0,45*2)</t>
  </si>
  <si>
    <t xml:space="preserve">0,9*2+0,7*1,97*2*35"dveře </t>
  </si>
  <si>
    <t>1*0,6*5,5"okna</t>
  </si>
  <si>
    <t>394,8+2,8*(2,9*2+2*2+2*2+1,8*2+2,9*2,5+9,3*2+1,15*2+1,55*4+2,1*2+1,3*4+1,4+4,2*2)"stěny</t>
  </si>
  <si>
    <t>2,8*(1,2+1,1+3+1,2*4+1,6)+1,6*1,9+1,2*3+2,8*2,1+2*1,4+10,2*1,2+4,1*(2,7+3,1+3,1)+1,55*(1,36+1,4+1,3)+1,2*4,2+1,15*(2,1*1,2)</t>
  </si>
  <si>
    <t>2,4*1+1,1*2,2*1,3</t>
  </si>
  <si>
    <t>1327 f - Sklepní kóje čp. 636</t>
  </si>
  <si>
    <t>2,8*(2,1+2,1+1,1+4,2*4+2,05+1,25+1,625*2)-0,7*1,97*8</t>
  </si>
  <si>
    <t>2,8*10</t>
  </si>
  <si>
    <t>1,587+2,8*(1,55*4+1,3+1,4+1,3+1,4+1,5+1,3+1,15*2+2,1+2+2,2+2)-0,7*1,97*10</t>
  </si>
  <si>
    <t>2*1,475+2,1*1,1+1,2*2+2*1,575+1,25*2,05+2,05*1,2+1,55*1,225</t>
  </si>
  <si>
    <t>1,4*2+1,2*2,6+1,35*1,625+1,625*(1,35+1,3)+4,6*4,2+4,5*1,6</t>
  </si>
  <si>
    <t>2,8*(1,2+1,1+1,4+1,2+1,1*2)+1,9*1,5*2+1,2*(5,6+5,6)+1,2*0,5*2+2,4*1,2*2+1,1*2,2*1,3</t>
  </si>
  <si>
    <t>2,6*(4,2*3+1,7*2+2+1,2+1,6*2)</t>
  </si>
  <si>
    <t>18,56"zárubně</t>
  </si>
  <si>
    <t>2,8*2*(1,1*2+1,6+1,4+1,4+1,1+1,1+1,9*5+1,9*2+4,1*4+4,9+2,9+4,6+1,2+3,4)+2,8*(1,9+2,6)-0,7*1,97*12-1*0,6*9</t>
  </si>
  <si>
    <t xml:space="preserve">0,9*2+0,7*1,97*2*20"dveře </t>
  </si>
  <si>
    <t>1*0,6*8"okna</t>
  </si>
  <si>
    <t>301,452+71,587+105,795</t>
  </si>
  <si>
    <t>1327 e - Sklepní kóje čp. 637</t>
  </si>
  <si>
    <t>2,8*1,2-0,9*1,97+2,8*(4,2+3*3+6,75)-0,7*1,97*6</t>
  </si>
  <si>
    <t>1,587*2+2,8*(4,2+4,1+3*6+1,05*3+2,2+1,1*2+5,6)-0,7*1,97*12</t>
  </si>
  <si>
    <t>2,8*(1,4+1,4+1,2+1,3+1,8)+1,2*1,6+1,2*5,7+4,2*1,15+1,1*7,8</t>
  </si>
  <si>
    <t>2,9*(1,05*3+2,2+1,1)+1,3*2,8+1,1*1,1+4*4,1</t>
  </si>
  <si>
    <t>2,4*1,2*2+1,1*2,2*1,3</t>
  </si>
  <si>
    <t>0,504*18</t>
  </si>
  <si>
    <t>2,6*(2,7+1*2)</t>
  </si>
  <si>
    <t>12,064+2,784"zárubně</t>
  </si>
  <si>
    <t>4,2*3-0,3*1-0,4*1+4,2*7,2-0,45*1*2+2,4*1,2*2+1,1*2,2*1,3</t>
  </si>
  <si>
    <t>4,1*5,9+1*1,4+3*1,3+1,9*1,2+2*2,6+2*1+1*4,1+6,5*3,8+4,2*2,4</t>
  </si>
  <si>
    <t xml:space="preserve">0,9*2*2+0,7*1,97*2*26"dveře </t>
  </si>
  <si>
    <t>1*0,6*7,5"okna</t>
  </si>
  <si>
    <t>586,356+97,086+0,7*1,97*12*2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</si>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</sst>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sz val="8"/>
      <color indexed="10"/>
      <name val="Trebuchet MS"/>
      <family val="0"/>
    </font>
    <font>
      <sz val="8"/>
      <color indexed="18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3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64" fontId="23" fillId="0" borderId="22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3" xfId="0" applyNumberFormat="1" applyFont="1" applyBorder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167" fontId="23" fillId="0" borderId="25" xfId="0" applyNumberFormat="1" applyFont="1" applyBorder="1" applyAlignment="1">
      <alignment horizontal="right" vertical="center"/>
    </xf>
    <xf numFmtId="164" fontId="23" fillId="0" borderId="26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7" fillId="35" borderId="18" xfId="0" applyFont="1" applyFill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33" xfId="0" applyFont="1" applyBorder="1" applyAlignment="1">
      <alignment horizontal="center" vertical="center"/>
    </xf>
    <xf numFmtId="49" fontId="30" fillId="0" borderId="33" xfId="0" applyNumberFormat="1" applyFont="1" applyBorder="1" applyAlignment="1">
      <alignment horizontal="left" vertical="center" wrapText="1"/>
    </xf>
    <xf numFmtId="0" fontId="30" fillId="0" borderId="33" xfId="0" applyFont="1" applyBorder="1" applyAlignment="1">
      <alignment horizontal="center" vertical="center" wrapText="1"/>
    </xf>
    <xf numFmtId="168" fontId="30" fillId="0" borderId="33" xfId="0" applyNumberFormat="1" applyFont="1" applyBorder="1" applyAlignment="1">
      <alignment horizontal="right" vertical="center"/>
    </xf>
    <xf numFmtId="168" fontId="0" fillId="34" borderId="33" xfId="0" applyNumberFormat="1" applyFont="1" applyFill="1" applyBorder="1" applyAlignment="1">
      <alignment horizontal="righ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68" fontId="31" fillId="0" borderId="0" xfId="0" applyNumberFormat="1" applyFont="1" applyAlignment="1">
      <alignment horizontal="right" vertical="center"/>
    </xf>
    <xf numFmtId="0" fontId="31" fillId="0" borderId="14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168" fontId="32" fillId="0" borderId="0" xfId="0" applyNumberFormat="1" applyFont="1" applyAlignment="1">
      <alignment horizontal="right" vertical="center"/>
    </xf>
    <xf numFmtId="0" fontId="32" fillId="0" borderId="14" xfId="0" applyFont="1" applyBorder="1" applyAlignment="1">
      <alignment horizontal="left" vertical="center"/>
    </xf>
    <xf numFmtId="0" fontId="32" fillId="0" borderId="22" xfId="0" applyFont="1" applyBorder="1" applyAlignment="1">
      <alignment horizontal="left" vertical="center"/>
    </xf>
    <xf numFmtId="0" fontId="32" fillId="0" borderId="23" xfId="0" applyFont="1" applyBorder="1" applyAlignment="1">
      <alignment horizontal="lef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7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7" fillId="35" borderId="18" xfId="0" applyNumberFormat="1" applyFont="1" applyFill="1" applyBorder="1" applyAlignment="1">
      <alignment horizontal="right" vertical="center"/>
    </xf>
    <xf numFmtId="0" fontId="0" fillId="35" borderId="36" xfId="0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0" fontId="24" fillId="34" borderId="0" xfId="0" applyFont="1" applyFill="1" applyAlignment="1">
      <alignment horizontal="lef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166" fontId="9" fillId="34" borderId="0" xfId="0" applyNumberFormat="1" applyFont="1" applyFill="1" applyAlignment="1">
      <alignment horizontal="left" vertical="top"/>
    </xf>
    <xf numFmtId="0" fontId="9" fillId="34" borderId="0" xfId="0" applyFont="1" applyFill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left" vertical="top"/>
    </xf>
    <xf numFmtId="0" fontId="9" fillId="35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/>
    </xf>
    <xf numFmtId="0" fontId="9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33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/>
    </xf>
    <xf numFmtId="164" fontId="30" fillId="34" borderId="33" xfId="0" applyNumberFormat="1" applyFont="1" applyFill="1" applyBorder="1" applyAlignment="1">
      <alignment horizontal="right" vertical="center"/>
    </xf>
    <xf numFmtId="164" fontId="30" fillId="0" borderId="33" xfId="0" applyNumberFormat="1" applyFont="1" applyBorder="1" applyAlignment="1">
      <alignment horizontal="righ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18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64" fontId="24" fillId="0" borderId="0" xfId="0" applyNumberFormat="1" applyFont="1" applyAlignment="1">
      <alignment horizontal="right"/>
    </xf>
    <xf numFmtId="0" fontId="71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72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C40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0E5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74E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68B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AF4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117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0B6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25" t="s">
        <v>0</v>
      </c>
      <c r="B1" s="226"/>
      <c r="C1" s="226"/>
      <c r="D1" s="227" t="s">
        <v>1</v>
      </c>
      <c r="E1" s="226"/>
      <c r="F1" s="226"/>
      <c r="G1" s="226"/>
      <c r="H1" s="226"/>
      <c r="I1" s="226"/>
      <c r="J1" s="226"/>
      <c r="K1" s="228" t="s">
        <v>428</v>
      </c>
      <c r="L1" s="228"/>
      <c r="M1" s="228"/>
      <c r="N1" s="228"/>
      <c r="O1" s="228"/>
      <c r="P1" s="228"/>
      <c r="Q1" s="228"/>
      <c r="R1" s="228"/>
      <c r="S1" s="228"/>
      <c r="T1" s="226"/>
      <c r="U1" s="226"/>
      <c r="V1" s="226"/>
      <c r="W1" s="228" t="s">
        <v>429</v>
      </c>
      <c r="X1" s="228"/>
      <c r="Y1" s="228"/>
      <c r="Z1" s="228"/>
      <c r="AA1" s="228"/>
      <c r="AB1" s="228"/>
      <c r="AC1" s="228"/>
      <c r="AD1" s="228"/>
      <c r="AE1" s="228"/>
      <c r="AF1" s="228"/>
      <c r="AG1" s="226"/>
      <c r="AH1" s="226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57" t="s">
        <v>4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R2" s="191" t="s">
        <v>5</v>
      </c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59" t="s">
        <v>9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1"/>
      <c r="AS4" s="12" t="s">
        <v>10</v>
      </c>
      <c r="BE4" s="13" t="s">
        <v>11</v>
      </c>
      <c r="BS4" s="6" t="s">
        <v>12</v>
      </c>
    </row>
    <row r="5" spans="2:71" s="2" customFormat="1" ht="7.5" customHeight="1">
      <c r="B5" s="10"/>
      <c r="AQ5" s="11"/>
      <c r="BE5" s="160" t="s">
        <v>13</v>
      </c>
      <c r="BS5" s="6" t="s">
        <v>6</v>
      </c>
    </row>
    <row r="6" spans="2:71" s="2" customFormat="1" ht="26.25" customHeight="1">
      <c r="B6" s="10"/>
      <c r="D6" s="14" t="s">
        <v>14</v>
      </c>
      <c r="K6" s="163" t="s">
        <v>15</v>
      </c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Q6" s="11"/>
      <c r="BE6" s="158"/>
      <c r="BS6" s="6" t="s">
        <v>16</v>
      </c>
    </row>
    <row r="7" spans="2:71" s="2" customFormat="1" ht="7.5" customHeight="1">
      <c r="B7" s="10"/>
      <c r="AQ7" s="11"/>
      <c r="BE7" s="158"/>
      <c r="BS7" s="6" t="s">
        <v>17</v>
      </c>
    </row>
    <row r="8" spans="2:71" s="2" customFormat="1" ht="15" customHeight="1">
      <c r="B8" s="10"/>
      <c r="D8" s="15" t="s">
        <v>18</v>
      </c>
      <c r="K8" s="16" t="s">
        <v>19</v>
      </c>
      <c r="AK8" s="15" t="s">
        <v>20</v>
      </c>
      <c r="AN8" s="17" t="s">
        <v>21</v>
      </c>
      <c r="AQ8" s="11"/>
      <c r="BE8" s="158"/>
      <c r="BS8" s="6" t="s">
        <v>22</v>
      </c>
    </row>
    <row r="9" spans="2:71" s="2" customFormat="1" ht="15" customHeight="1">
      <c r="B9" s="10"/>
      <c r="AQ9" s="11"/>
      <c r="BE9" s="158"/>
      <c r="BS9" s="6" t="s">
        <v>23</v>
      </c>
    </row>
    <row r="10" spans="2:71" s="2" customFormat="1" ht="15" customHeight="1">
      <c r="B10" s="10"/>
      <c r="D10" s="15" t="s">
        <v>24</v>
      </c>
      <c r="AK10" s="15" t="s">
        <v>25</v>
      </c>
      <c r="AN10" s="16"/>
      <c r="AQ10" s="11"/>
      <c r="BE10" s="158"/>
      <c r="BS10" s="6" t="s">
        <v>16</v>
      </c>
    </row>
    <row r="11" spans="2:71" s="2" customFormat="1" ht="19.5" customHeight="1">
      <c r="B11" s="10"/>
      <c r="E11" s="16" t="s">
        <v>26</v>
      </c>
      <c r="AK11" s="15" t="s">
        <v>27</v>
      </c>
      <c r="AN11" s="16"/>
      <c r="AQ11" s="11"/>
      <c r="BE11" s="158"/>
      <c r="BS11" s="6" t="s">
        <v>16</v>
      </c>
    </row>
    <row r="12" spans="2:71" s="2" customFormat="1" ht="7.5" customHeight="1">
      <c r="B12" s="10"/>
      <c r="AQ12" s="11"/>
      <c r="BE12" s="158"/>
      <c r="BS12" s="6" t="s">
        <v>16</v>
      </c>
    </row>
    <row r="13" spans="2:71" s="2" customFormat="1" ht="15" customHeight="1">
      <c r="B13" s="10"/>
      <c r="D13" s="15" t="s">
        <v>28</v>
      </c>
      <c r="AK13" s="15" t="s">
        <v>25</v>
      </c>
      <c r="AN13" s="18" t="s">
        <v>29</v>
      </c>
      <c r="AQ13" s="11"/>
      <c r="BE13" s="158"/>
      <c r="BS13" s="6" t="s">
        <v>16</v>
      </c>
    </row>
    <row r="14" spans="2:71" s="2" customFormat="1" ht="15.75" customHeight="1">
      <c r="B14" s="10"/>
      <c r="E14" s="164" t="s">
        <v>29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" t="s">
        <v>27</v>
      </c>
      <c r="AN14" s="18" t="s">
        <v>29</v>
      </c>
      <c r="AQ14" s="11"/>
      <c r="BE14" s="158"/>
      <c r="BS14" s="6" t="s">
        <v>16</v>
      </c>
    </row>
    <row r="15" spans="2:71" s="2" customFormat="1" ht="7.5" customHeight="1">
      <c r="B15" s="10"/>
      <c r="AQ15" s="11"/>
      <c r="BE15" s="158"/>
      <c r="BS15" s="6" t="s">
        <v>3</v>
      </c>
    </row>
    <row r="16" spans="2:71" s="2" customFormat="1" ht="15" customHeight="1">
      <c r="B16" s="10"/>
      <c r="D16" s="15" t="s">
        <v>30</v>
      </c>
      <c r="AK16" s="15" t="s">
        <v>25</v>
      </c>
      <c r="AN16" s="16"/>
      <c r="AQ16" s="11"/>
      <c r="BE16" s="158"/>
      <c r="BS16" s="6" t="s">
        <v>3</v>
      </c>
    </row>
    <row r="17" spans="2:71" s="2" customFormat="1" ht="19.5" customHeight="1">
      <c r="B17" s="10"/>
      <c r="E17" s="16" t="s">
        <v>31</v>
      </c>
      <c r="AK17" s="15" t="s">
        <v>27</v>
      </c>
      <c r="AN17" s="16"/>
      <c r="AQ17" s="11"/>
      <c r="BE17" s="158"/>
      <c r="BS17" s="6" t="s">
        <v>32</v>
      </c>
    </row>
    <row r="18" spans="2:71" s="2" customFormat="1" ht="7.5" customHeight="1">
      <c r="B18" s="10"/>
      <c r="AQ18" s="11"/>
      <c r="BE18" s="158"/>
      <c r="BS18" s="6" t="s">
        <v>6</v>
      </c>
    </row>
    <row r="19" spans="2:71" s="2" customFormat="1" ht="15" customHeight="1">
      <c r="B19" s="10"/>
      <c r="D19" s="15" t="s">
        <v>33</v>
      </c>
      <c r="AK19" s="15" t="s">
        <v>25</v>
      </c>
      <c r="AN19" s="16" t="s">
        <v>34</v>
      </c>
      <c r="AQ19" s="11"/>
      <c r="BE19" s="158"/>
      <c r="BS19" s="6" t="s">
        <v>16</v>
      </c>
    </row>
    <row r="20" spans="2:57" s="2" customFormat="1" ht="19.5" customHeight="1">
      <c r="B20" s="10"/>
      <c r="E20" s="16" t="s">
        <v>31</v>
      </c>
      <c r="AK20" s="15" t="s">
        <v>27</v>
      </c>
      <c r="AN20" s="16" t="s">
        <v>35</v>
      </c>
      <c r="AQ20" s="11"/>
      <c r="BE20" s="158"/>
    </row>
    <row r="21" spans="2:57" s="2" customFormat="1" ht="7.5" customHeight="1">
      <c r="B21" s="10"/>
      <c r="AQ21" s="11"/>
      <c r="BE21" s="158"/>
    </row>
    <row r="22" spans="2:57" s="2" customFormat="1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158"/>
    </row>
    <row r="23" spans="2:57" s="2" customFormat="1" ht="15" customHeight="1">
      <c r="B23" s="10"/>
      <c r="D23" s="20" t="s">
        <v>36</v>
      </c>
      <c r="AK23" s="165">
        <f>ROUNDUP($AG$87,2)</f>
        <v>0</v>
      </c>
      <c r="AL23" s="158"/>
      <c r="AM23" s="158"/>
      <c r="AN23" s="158"/>
      <c r="AO23" s="158"/>
      <c r="AQ23" s="11"/>
      <c r="BE23" s="158"/>
    </row>
    <row r="24" spans="2:57" s="2" customFormat="1" ht="15" customHeight="1">
      <c r="B24" s="10"/>
      <c r="D24" s="20" t="s">
        <v>37</v>
      </c>
      <c r="AK24" s="165">
        <f>ROUNDUP($AG$95,2)</f>
        <v>0</v>
      </c>
      <c r="AL24" s="158"/>
      <c r="AM24" s="158"/>
      <c r="AN24" s="158"/>
      <c r="AO24" s="158"/>
      <c r="AQ24" s="11"/>
      <c r="BE24" s="158"/>
    </row>
    <row r="25" spans="2:57" s="6" customFormat="1" ht="7.5" customHeight="1">
      <c r="B25" s="21"/>
      <c r="AQ25" s="22"/>
      <c r="BE25" s="161"/>
    </row>
    <row r="26" spans="2:57" s="6" customFormat="1" ht="27" customHeight="1">
      <c r="B26" s="21"/>
      <c r="D26" s="23" t="s">
        <v>38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66">
        <f>ROUNDUP($AK$23+$AK$24,2)</f>
        <v>0</v>
      </c>
      <c r="AL26" s="167"/>
      <c r="AM26" s="167"/>
      <c r="AN26" s="167"/>
      <c r="AO26" s="167"/>
      <c r="AQ26" s="22"/>
      <c r="BE26" s="161"/>
    </row>
    <row r="27" spans="2:57" s="6" customFormat="1" ht="7.5" customHeight="1">
      <c r="B27" s="21"/>
      <c r="AQ27" s="22"/>
      <c r="BE27" s="161"/>
    </row>
    <row r="28" spans="2:57" s="6" customFormat="1" ht="15" customHeight="1">
      <c r="B28" s="25"/>
      <c r="D28" s="26" t="s">
        <v>39</v>
      </c>
      <c r="F28" s="26" t="s">
        <v>40</v>
      </c>
      <c r="L28" s="168">
        <v>0.21</v>
      </c>
      <c r="M28" s="162"/>
      <c r="N28" s="162"/>
      <c r="O28" s="162"/>
      <c r="T28" s="28" t="s">
        <v>41</v>
      </c>
      <c r="W28" s="169">
        <f>ROUNDUP($AZ$87+SUM($CD$96:$CD$109),2)</f>
        <v>0</v>
      </c>
      <c r="X28" s="162"/>
      <c r="Y28" s="162"/>
      <c r="Z28" s="162"/>
      <c r="AA28" s="162"/>
      <c r="AB28" s="162"/>
      <c r="AC28" s="162"/>
      <c r="AD28" s="162"/>
      <c r="AE28" s="162"/>
      <c r="AK28" s="169">
        <f>ROUNDUP($AV$87+SUM($BY$96:$BY$109),1)</f>
        <v>0</v>
      </c>
      <c r="AL28" s="162"/>
      <c r="AM28" s="162"/>
      <c r="AN28" s="162"/>
      <c r="AO28" s="162"/>
      <c r="AQ28" s="29"/>
      <c r="BE28" s="162"/>
    </row>
    <row r="29" spans="2:57" s="6" customFormat="1" ht="15" customHeight="1">
      <c r="B29" s="25"/>
      <c r="F29" s="26" t="s">
        <v>42</v>
      </c>
      <c r="L29" s="168">
        <v>0.15</v>
      </c>
      <c r="M29" s="162"/>
      <c r="N29" s="162"/>
      <c r="O29" s="162"/>
      <c r="T29" s="28" t="s">
        <v>41</v>
      </c>
      <c r="W29" s="169">
        <f>ROUNDUP($BA$87+SUM($CE$96:$CE$109),2)</f>
        <v>0</v>
      </c>
      <c r="X29" s="162"/>
      <c r="Y29" s="162"/>
      <c r="Z29" s="162"/>
      <c r="AA29" s="162"/>
      <c r="AB29" s="162"/>
      <c r="AC29" s="162"/>
      <c r="AD29" s="162"/>
      <c r="AE29" s="162"/>
      <c r="AK29" s="169">
        <f>ROUNDUP($AW$87+SUM($BZ$96:$BZ$109),1)</f>
        <v>0</v>
      </c>
      <c r="AL29" s="162"/>
      <c r="AM29" s="162"/>
      <c r="AN29" s="162"/>
      <c r="AO29" s="162"/>
      <c r="AQ29" s="29"/>
      <c r="BE29" s="162"/>
    </row>
    <row r="30" spans="2:57" s="6" customFormat="1" ht="15" customHeight="1" hidden="1">
      <c r="B30" s="25"/>
      <c r="F30" s="26" t="s">
        <v>43</v>
      </c>
      <c r="L30" s="168">
        <v>0.21</v>
      </c>
      <c r="M30" s="162"/>
      <c r="N30" s="162"/>
      <c r="O30" s="162"/>
      <c r="T30" s="28" t="s">
        <v>41</v>
      </c>
      <c r="W30" s="169">
        <f>ROUNDUP($BB$87+SUM($CF$96:$CF$109),2)</f>
        <v>0</v>
      </c>
      <c r="X30" s="162"/>
      <c r="Y30" s="162"/>
      <c r="Z30" s="162"/>
      <c r="AA30" s="162"/>
      <c r="AB30" s="162"/>
      <c r="AC30" s="162"/>
      <c r="AD30" s="162"/>
      <c r="AE30" s="162"/>
      <c r="AK30" s="169">
        <v>0</v>
      </c>
      <c r="AL30" s="162"/>
      <c r="AM30" s="162"/>
      <c r="AN30" s="162"/>
      <c r="AO30" s="162"/>
      <c r="AQ30" s="29"/>
      <c r="BE30" s="162"/>
    </row>
    <row r="31" spans="2:57" s="6" customFormat="1" ht="15" customHeight="1" hidden="1">
      <c r="B31" s="25"/>
      <c r="F31" s="26" t="s">
        <v>44</v>
      </c>
      <c r="L31" s="168">
        <v>0.15</v>
      </c>
      <c r="M31" s="162"/>
      <c r="N31" s="162"/>
      <c r="O31" s="162"/>
      <c r="T31" s="28" t="s">
        <v>41</v>
      </c>
      <c r="W31" s="169">
        <f>ROUNDUP($BC$87+SUM($CG$96:$CG$109),2)</f>
        <v>0</v>
      </c>
      <c r="X31" s="162"/>
      <c r="Y31" s="162"/>
      <c r="Z31" s="162"/>
      <c r="AA31" s="162"/>
      <c r="AB31" s="162"/>
      <c r="AC31" s="162"/>
      <c r="AD31" s="162"/>
      <c r="AE31" s="162"/>
      <c r="AK31" s="169">
        <v>0</v>
      </c>
      <c r="AL31" s="162"/>
      <c r="AM31" s="162"/>
      <c r="AN31" s="162"/>
      <c r="AO31" s="162"/>
      <c r="AQ31" s="29"/>
      <c r="BE31" s="162"/>
    </row>
    <row r="32" spans="2:57" s="6" customFormat="1" ht="15" customHeight="1" hidden="1">
      <c r="B32" s="25"/>
      <c r="F32" s="26" t="s">
        <v>45</v>
      </c>
      <c r="L32" s="168">
        <v>0</v>
      </c>
      <c r="M32" s="162"/>
      <c r="N32" s="162"/>
      <c r="O32" s="162"/>
      <c r="T32" s="28" t="s">
        <v>41</v>
      </c>
      <c r="W32" s="169">
        <f>ROUNDUP($BD$87+SUM($CH$96:$CH$109),2)</f>
        <v>0</v>
      </c>
      <c r="X32" s="162"/>
      <c r="Y32" s="162"/>
      <c r="Z32" s="162"/>
      <c r="AA32" s="162"/>
      <c r="AB32" s="162"/>
      <c r="AC32" s="162"/>
      <c r="AD32" s="162"/>
      <c r="AE32" s="162"/>
      <c r="AK32" s="169">
        <v>0</v>
      </c>
      <c r="AL32" s="162"/>
      <c r="AM32" s="162"/>
      <c r="AN32" s="162"/>
      <c r="AO32" s="162"/>
      <c r="AQ32" s="29"/>
      <c r="BE32" s="162"/>
    </row>
    <row r="33" spans="2:57" s="6" customFormat="1" ht="7.5" customHeight="1">
      <c r="B33" s="21"/>
      <c r="AQ33" s="22"/>
      <c r="BE33" s="161"/>
    </row>
    <row r="34" spans="2:57" s="6" customFormat="1" ht="27" customHeight="1">
      <c r="B34" s="21"/>
      <c r="C34" s="30"/>
      <c r="D34" s="31" t="s">
        <v>46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3" t="s">
        <v>47</v>
      </c>
      <c r="U34" s="32"/>
      <c r="V34" s="32"/>
      <c r="W34" s="32"/>
      <c r="X34" s="170" t="s">
        <v>48</v>
      </c>
      <c r="Y34" s="171"/>
      <c r="Z34" s="171"/>
      <c r="AA34" s="171"/>
      <c r="AB34" s="171"/>
      <c r="AC34" s="32"/>
      <c r="AD34" s="32"/>
      <c r="AE34" s="32"/>
      <c r="AF34" s="32"/>
      <c r="AG34" s="32"/>
      <c r="AH34" s="32"/>
      <c r="AI34" s="32"/>
      <c r="AJ34" s="32"/>
      <c r="AK34" s="172">
        <f>ROUNDUP(SUM($AK$26:$AK$32),2)</f>
        <v>0</v>
      </c>
      <c r="AL34" s="171"/>
      <c r="AM34" s="171"/>
      <c r="AN34" s="171"/>
      <c r="AO34" s="173"/>
      <c r="AP34" s="30"/>
      <c r="AQ34" s="22"/>
      <c r="BE34" s="161"/>
    </row>
    <row r="35" spans="2:43" s="6" customFormat="1" ht="15" customHeight="1">
      <c r="B35" s="21"/>
      <c r="AQ35" s="22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1"/>
      <c r="D49" s="34" t="s">
        <v>49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C49" s="34" t="s">
        <v>50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6"/>
      <c r="AQ49" s="22"/>
    </row>
    <row r="50" spans="2:43" s="2" customFormat="1" ht="14.25" customHeight="1">
      <c r="B50" s="10"/>
      <c r="D50" s="37"/>
      <c r="Z50" s="38"/>
      <c r="AC50" s="37"/>
      <c r="AO50" s="38"/>
      <c r="AQ50" s="11"/>
    </row>
    <row r="51" spans="2:43" s="2" customFormat="1" ht="14.25" customHeight="1">
      <c r="B51" s="10"/>
      <c r="D51" s="37"/>
      <c r="Z51" s="38"/>
      <c r="AC51" s="37"/>
      <c r="AO51" s="38"/>
      <c r="AQ51" s="11"/>
    </row>
    <row r="52" spans="2:43" s="2" customFormat="1" ht="14.25" customHeight="1">
      <c r="B52" s="10"/>
      <c r="D52" s="37"/>
      <c r="Z52" s="38"/>
      <c r="AC52" s="37"/>
      <c r="AO52" s="38"/>
      <c r="AQ52" s="11"/>
    </row>
    <row r="53" spans="2:43" s="2" customFormat="1" ht="14.25" customHeight="1">
      <c r="B53" s="10"/>
      <c r="D53" s="37"/>
      <c r="Z53" s="38"/>
      <c r="AC53" s="37"/>
      <c r="AO53" s="38"/>
      <c r="AQ53" s="11"/>
    </row>
    <row r="54" spans="2:43" s="2" customFormat="1" ht="14.25" customHeight="1">
      <c r="B54" s="10"/>
      <c r="D54" s="37"/>
      <c r="Z54" s="38"/>
      <c r="AC54" s="37"/>
      <c r="AO54" s="38"/>
      <c r="AQ54" s="11"/>
    </row>
    <row r="55" spans="2:43" s="2" customFormat="1" ht="14.25" customHeight="1">
      <c r="B55" s="10"/>
      <c r="D55" s="37"/>
      <c r="Z55" s="38"/>
      <c r="AC55" s="37"/>
      <c r="AO55" s="38"/>
      <c r="AQ55" s="11"/>
    </row>
    <row r="56" spans="2:43" s="2" customFormat="1" ht="14.25" customHeight="1">
      <c r="B56" s="10"/>
      <c r="D56" s="37"/>
      <c r="Z56" s="38"/>
      <c r="AC56" s="37"/>
      <c r="AO56" s="38"/>
      <c r="AQ56" s="11"/>
    </row>
    <row r="57" spans="2:43" s="2" customFormat="1" ht="14.25" customHeight="1">
      <c r="B57" s="10"/>
      <c r="D57" s="37"/>
      <c r="Z57" s="38"/>
      <c r="AC57" s="37"/>
      <c r="AO57" s="38"/>
      <c r="AQ57" s="11"/>
    </row>
    <row r="58" spans="2:43" s="6" customFormat="1" ht="15.75" customHeight="1">
      <c r="B58" s="21"/>
      <c r="D58" s="39" t="s">
        <v>51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1" t="s">
        <v>52</v>
      </c>
      <c r="S58" s="40"/>
      <c r="T58" s="40"/>
      <c r="U58" s="40"/>
      <c r="V58" s="40"/>
      <c r="W58" s="40"/>
      <c r="X58" s="40"/>
      <c r="Y58" s="40"/>
      <c r="Z58" s="42"/>
      <c r="AC58" s="39" t="s">
        <v>51</v>
      </c>
      <c r="AD58" s="40"/>
      <c r="AE58" s="40"/>
      <c r="AF58" s="40"/>
      <c r="AG58" s="40"/>
      <c r="AH58" s="40"/>
      <c r="AI58" s="40"/>
      <c r="AJ58" s="40"/>
      <c r="AK58" s="40"/>
      <c r="AL58" s="40"/>
      <c r="AM58" s="41" t="s">
        <v>52</v>
      </c>
      <c r="AN58" s="40"/>
      <c r="AO58" s="42"/>
      <c r="AQ58" s="22"/>
    </row>
    <row r="59" spans="2:43" s="2" customFormat="1" ht="14.25" customHeight="1">
      <c r="B59" s="10"/>
      <c r="AQ59" s="11"/>
    </row>
    <row r="60" spans="2:43" s="6" customFormat="1" ht="15.75" customHeight="1">
      <c r="B60" s="21"/>
      <c r="D60" s="34" t="s">
        <v>53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C60" s="34" t="s">
        <v>54</v>
      </c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6"/>
      <c r="AQ60" s="22"/>
    </row>
    <row r="61" spans="2:43" s="2" customFormat="1" ht="14.25" customHeight="1">
      <c r="B61" s="10"/>
      <c r="D61" s="37"/>
      <c r="Z61" s="38"/>
      <c r="AC61" s="37"/>
      <c r="AO61" s="38"/>
      <c r="AQ61" s="11"/>
    </row>
    <row r="62" spans="2:43" s="2" customFormat="1" ht="14.25" customHeight="1">
      <c r="B62" s="10"/>
      <c r="D62" s="37"/>
      <c r="Z62" s="38"/>
      <c r="AC62" s="37"/>
      <c r="AO62" s="38"/>
      <c r="AQ62" s="11"/>
    </row>
    <row r="63" spans="2:43" s="2" customFormat="1" ht="14.25" customHeight="1">
      <c r="B63" s="10"/>
      <c r="D63" s="37"/>
      <c r="Z63" s="38"/>
      <c r="AC63" s="37"/>
      <c r="AO63" s="38"/>
      <c r="AQ63" s="11"/>
    </row>
    <row r="64" spans="2:43" s="2" customFormat="1" ht="14.25" customHeight="1">
      <c r="B64" s="10"/>
      <c r="D64" s="37"/>
      <c r="Z64" s="38"/>
      <c r="AC64" s="37"/>
      <c r="AO64" s="38"/>
      <c r="AQ64" s="11"/>
    </row>
    <row r="65" spans="2:43" s="2" customFormat="1" ht="14.25" customHeight="1">
      <c r="B65" s="10"/>
      <c r="D65" s="37"/>
      <c r="Z65" s="38"/>
      <c r="AC65" s="37"/>
      <c r="AO65" s="38"/>
      <c r="AQ65" s="11"/>
    </row>
    <row r="66" spans="2:43" s="2" customFormat="1" ht="14.25" customHeight="1">
      <c r="B66" s="10"/>
      <c r="D66" s="37"/>
      <c r="Z66" s="38"/>
      <c r="AC66" s="37"/>
      <c r="AO66" s="38"/>
      <c r="AQ66" s="11"/>
    </row>
    <row r="67" spans="2:43" s="2" customFormat="1" ht="14.25" customHeight="1">
      <c r="B67" s="10"/>
      <c r="D67" s="37"/>
      <c r="Z67" s="38"/>
      <c r="AC67" s="37"/>
      <c r="AO67" s="38"/>
      <c r="AQ67" s="11"/>
    </row>
    <row r="68" spans="2:43" s="2" customFormat="1" ht="14.25" customHeight="1">
      <c r="B68" s="10"/>
      <c r="D68" s="37"/>
      <c r="Z68" s="38"/>
      <c r="AC68" s="37"/>
      <c r="AO68" s="38"/>
      <c r="AQ68" s="11"/>
    </row>
    <row r="69" spans="2:43" s="6" customFormat="1" ht="15.75" customHeight="1">
      <c r="B69" s="21"/>
      <c r="D69" s="39" t="s">
        <v>51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 t="s">
        <v>52</v>
      </c>
      <c r="S69" s="40"/>
      <c r="T69" s="40"/>
      <c r="U69" s="40"/>
      <c r="V69" s="40"/>
      <c r="W69" s="40"/>
      <c r="X69" s="40"/>
      <c r="Y69" s="40"/>
      <c r="Z69" s="42"/>
      <c r="AC69" s="39" t="s">
        <v>51</v>
      </c>
      <c r="AD69" s="40"/>
      <c r="AE69" s="40"/>
      <c r="AF69" s="40"/>
      <c r="AG69" s="40"/>
      <c r="AH69" s="40"/>
      <c r="AI69" s="40"/>
      <c r="AJ69" s="40"/>
      <c r="AK69" s="40"/>
      <c r="AL69" s="40"/>
      <c r="AM69" s="41" t="s">
        <v>52</v>
      </c>
      <c r="AN69" s="40"/>
      <c r="AO69" s="42"/>
      <c r="AQ69" s="22"/>
    </row>
    <row r="70" spans="2:43" s="6" customFormat="1" ht="7.5" customHeight="1">
      <c r="B70" s="21"/>
      <c r="AQ70" s="22"/>
    </row>
    <row r="71" spans="2:43" s="6" customFormat="1" ht="7.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5"/>
    </row>
    <row r="75" spans="2:43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8"/>
    </row>
    <row r="76" spans="2:43" s="6" customFormat="1" ht="37.5" customHeight="1">
      <c r="B76" s="21"/>
      <c r="C76" s="159" t="s">
        <v>55</v>
      </c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22"/>
    </row>
    <row r="77" spans="2:43" s="6" customFormat="1" ht="7.5" customHeight="1">
      <c r="B77" s="21"/>
      <c r="AQ77" s="22"/>
    </row>
    <row r="78" spans="2:43" s="14" customFormat="1" ht="27" customHeight="1">
      <c r="B78" s="49"/>
      <c r="C78" s="14" t="s">
        <v>14</v>
      </c>
      <c r="L78" s="163" t="str">
        <f>$K$6</f>
        <v>1327 - Stavební úpravy stávajícího objektu - rozdělení sklepních kójí</v>
      </c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Q78" s="50"/>
    </row>
    <row r="79" spans="2:43" s="6" customFormat="1" ht="7.5" customHeight="1">
      <c r="B79" s="21"/>
      <c r="AQ79" s="22"/>
    </row>
    <row r="80" spans="2:43" s="6" customFormat="1" ht="15.75" customHeight="1">
      <c r="B80" s="21"/>
      <c r="C80" s="15" t="s">
        <v>18</v>
      </c>
      <c r="L80" s="51" t="str">
        <f>IF($K$8="","",$K$8)</f>
        <v>Kolín II, Benešova čp. 636 - 641</v>
      </c>
      <c r="AI80" s="15" t="s">
        <v>20</v>
      </c>
      <c r="AM80" s="52" t="str">
        <f>IF($AN$8="","",$AN$8)</f>
        <v>08.07.2013</v>
      </c>
      <c r="AQ80" s="22"/>
    </row>
    <row r="81" spans="2:43" s="6" customFormat="1" ht="7.5" customHeight="1">
      <c r="B81" s="21"/>
      <c r="AQ81" s="22"/>
    </row>
    <row r="82" spans="2:56" s="6" customFormat="1" ht="18.75" customHeight="1">
      <c r="B82" s="21"/>
      <c r="C82" s="15" t="s">
        <v>24</v>
      </c>
      <c r="L82" s="16" t="str">
        <f>IF($E$11="","",$E$11)</f>
        <v>Město Kolín, Karlovo náměstí 78, 280 02 Kolín 1</v>
      </c>
      <c r="AI82" s="15" t="s">
        <v>30</v>
      </c>
      <c r="AM82" s="174" t="str">
        <f>IF($E$17="","",$E$17)</f>
        <v>Ing. Karel Vrátný, Rubešova 60, 280 02 Kolín</v>
      </c>
      <c r="AN82" s="161"/>
      <c r="AO82" s="161"/>
      <c r="AP82" s="161"/>
      <c r="AQ82" s="22"/>
      <c r="AS82" s="175" t="s">
        <v>56</v>
      </c>
      <c r="AT82" s="176"/>
      <c r="AU82" s="35"/>
      <c r="AV82" s="35"/>
      <c r="AW82" s="35"/>
      <c r="AX82" s="35"/>
      <c r="AY82" s="35"/>
      <c r="AZ82" s="35"/>
      <c r="BA82" s="35"/>
      <c r="BB82" s="35"/>
      <c r="BC82" s="35"/>
      <c r="BD82" s="36"/>
    </row>
    <row r="83" spans="2:56" s="6" customFormat="1" ht="15.75" customHeight="1">
      <c r="B83" s="21"/>
      <c r="C83" s="15" t="s">
        <v>28</v>
      </c>
      <c r="L83" s="16">
        <f>IF($E$14="Vyplň údaj","",$E$14)</f>
      </c>
      <c r="AI83" s="15" t="s">
        <v>33</v>
      </c>
      <c r="AM83" s="174" t="str">
        <f>IF($E$20="","",$E$20)</f>
        <v>Ing. Karel Vrátný, Rubešova 60, 280 02 Kolín</v>
      </c>
      <c r="AN83" s="161"/>
      <c r="AO83" s="161"/>
      <c r="AP83" s="161"/>
      <c r="AQ83" s="22"/>
      <c r="AS83" s="177"/>
      <c r="AT83" s="161"/>
      <c r="BD83" s="54"/>
    </row>
    <row r="84" spans="2:56" s="6" customFormat="1" ht="12" customHeight="1">
      <c r="B84" s="21"/>
      <c r="AQ84" s="22"/>
      <c r="AS84" s="177"/>
      <c r="AT84" s="161"/>
      <c r="BD84" s="54"/>
    </row>
    <row r="85" spans="2:57" s="6" customFormat="1" ht="30" customHeight="1">
      <c r="B85" s="21"/>
      <c r="C85" s="178" t="s">
        <v>57</v>
      </c>
      <c r="D85" s="171"/>
      <c r="E85" s="171"/>
      <c r="F85" s="171"/>
      <c r="G85" s="171"/>
      <c r="H85" s="32"/>
      <c r="I85" s="179" t="s">
        <v>58</v>
      </c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9" t="s">
        <v>59</v>
      </c>
      <c r="AH85" s="171"/>
      <c r="AI85" s="171"/>
      <c r="AJ85" s="171"/>
      <c r="AK85" s="171"/>
      <c r="AL85" s="171"/>
      <c r="AM85" s="171"/>
      <c r="AN85" s="179" t="s">
        <v>60</v>
      </c>
      <c r="AO85" s="171"/>
      <c r="AP85" s="173"/>
      <c r="AQ85" s="22"/>
      <c r="AS85" s="55" t="s">
        <v>61</v>
      </c>
      <c r="AT85" s="56" t="s">
        <v>62</v>
      </c>
      <c r="AU85" s="56" t="s">
        <v>63</v>
      </c>
      <c r="AV85" s="56" t="s">
        <v>64</v>
      </c>
      <c r="AW85" s="56" t="s">
        <v>65</v>
      </c>
      <c r="AX85" s="56" t="s">
        <v>66</v>
      </c>
      <c r="AY85" s="56" t="s">
        <v>67</v>
      </c>
      <c r="AZ85" s="56" t="s">
        <v>68</v>
      </c>
      <c r="BA85" s="56" t="s">
        <v>69</v>
      </c>
      <c r="BB85" s="56" t="s">
        <v>70</v>
      </c>
      <c r="BC85" s="56" t="s">
        <v>71</v>
      </c>
      <c r="BD85" s="57" t="s">
        <v>72</v>
      </c>
      <c r="BE85" s="58"/>
    </row>
    <row r="86" spans="2:56" s="6" customFormat="1" ht="12" customHeight="1">
      <c r="B86" s="21"/>
      <c r="AQ86" s="22"/>
      <c r="AS86" s="59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6"/>
    </row>
    <row r="87" spans="2:76" s="14" customFormat="1" ht="33" customHeight="1">
      <c r="B87" s="49"/>
      <c r="C87" s="60" t="s">
        <v>73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87">
        <f>ROUNDUP(SUM($AG$88:$AG$93),2)</f>
        <v>0</v>
      </c>
      <c r="AH87" s="188"/>
      <c r="AI87" s="188"/>
      <c r="AJ87" s="188"/>
      <c r="AK87" s="188"/>
      <c r="AL87" s="188"/>
      <c r="AM87" s="188"/>
      <c r="AN87" s="187">
        <f>ROUNDUP(SUM($AG$87,$AT$87),2)</f>
        <v>0</v>
      </c>
      <c r="AO87" s="188"/>
      <c r="AP87" s="188"/>
      <c r="AQ87" s="50"/>
      <c r="AS87" s="61">
        <f>ROUNDUP(SUM($AS$88:$AS$93),2)</f>
        <v>0</v>
      </c>
      <c r="AT87" s="62">
        <f>ROUNDUP(SUM($AV$87:$AW$87),1)</f>
        <v>0</v>
      </c>
      <c r="AU87" s="63">
        <f>ROUNDUP(SUM($AU$88:$AU$93),5)</f>
        <v>1544.5632699999999</v>
      </c>
      <c r="AV87" s="62">
        <f>ROUNDUP($AZ$87*$L$28,2)</f>
        <v>0</v>
      </c>
      <c r="AW87" s="62">
        <f>ROUNDUP($BA$87*$L$29,2)</f>
        <v>0</v>
      </c>
      <c r="AX87" s="62">
        <f>ROUNDUP($BB$87*$L$28,2)</f>
        <v>0</v>
      </c>
      <c r="AY87" s="62">
        <f>ROUNDUP($BC$87*$L$29,2)</f>
        <v>0</v>
      </c>
      <c r="AZ87" s="62">
        <f>ROUNDUP(SUM($AZ$88:$AZ$93),2)</f>
        <v>0</v>
      </c>
      <c r="BA87" s="62">
        <f>ROUNDUP(SUM($BA$88:$BA$93),2)</f>
        <v>0</v>
      </c>
      <c r="BB87" s="62">
        <f>ROUNDUP(SUM($BB$88:$BB$93),2)</f>
        <v>0</v>
      </c>
      <c r="BC87" s="62">
        <f>ROUNDUP(SUM($BC$88:$BC$93),2)</f>
        <v>0</v>
      </c>
      <c r="BD87" s="64">
        <f>ROUNDUP(SUM($BD$88:$BD$93),2)</f>
        <v>0</v>
      </c>
      <c r="BS87" s="14" t="s">
        <v>74</v>
      </c>
      <c r="BT87" s="14" t="s">
        <v>75</v>
      </c>
      <c r="BU87" s="65" t="s">
        <v>76</v>
      </c>
      <c r="BV87" s="14" t="s">
        <v>77</v>
      </c>
      <c r="BW87" s="14" t="s">
        <v>78</v>
      </c>
      <c r="BX87" s="14" t="s">
        <v>79</v>
      </c>
    </row>
    <row r="88" spans="1:76" s="66" customFormat="1" ht="28.5" customHeight="1">
      <c r="A88" s="224" t="s">
        <v>430</v>
      </c>
      <c r="B88" s="67"/>
      <c r="C88" s="68"/>
      <c r="D88" s="182" t="s">
        <v>80</v>
      </c>
      <c r="E88" s="183"/>
      <c r="F88" s="183"/>
      <c r="G88" s="183"/>
      <c r="H88" s="183"/>
      <c r="I88" s="68"/>
      <c r="J88" s="182" t="s">
        <v>81</v>
      </c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0">
        <f>'1327 a - Sklepní kóje čp....'!$M$27</f>
        <v>0</v>
      </c>
      <c r="AH88" s="181"/>
      <c r="AI88" s="181"/>
      <c r="AJ88" s="181"/>
      <c r="AK88" s="181"/>
      <c r="AL88" s="181"/>
      <c r="AM88" s="181"/>
      <c r="AN88" s="180">
        <f>ROUNDUP(SUM($AG$88,$AT$88),2)</f>
        <v>0</v>
      </c>
      <c r="AO88" s="181"/>
      <c r="AP88" s="181"/>
      <c r="AQ88" s="69"/>
      <c r="AS88" s="70">
        <f>'1327 a - Sklepní kóje čp....'!$M$25</f>
        <v>0</v>
      </c>
      <c r="AT88" s="71">
        <f>ROUNDUP(SUM($AV$88:$AW$88),1)</f>
        <v>0</v>
      </c>
      <c r="AU88" s="72">
        <f>'1327 a - Sklepní kóje čp....'!$W$127</f>
        <v>173.363089</v>
      </c>
      <c r="AV88" s="71">
        <f>'1327 a - Sklepní kóje čp....'!$M$29</f>
        <v>0</v>
      </c>
      <c r="AW88" s="71">
        <f>'1327 a - Sklepní kóje čp....'!$M$30</f>
        <v>0</v>
      </c>
      <c r="AX88" s="71">
        <f>'1327 a - Sklepní kóje čp....'!$M$31</f>
        <v>0</v>
      </c>
      <c r="AY88" s="71">
        <f>'1327 a - Sklepní kóje čp....'!$M$32</f>
        <v>0</v>
      </c>
      <c r="AZ88" s="71">
        <f>'1327 a - Sklepní kóje čp....'!$H$29</f>
        <v>0</v>
      </c>
      <c r="BA88" s="71">
        <f>'1327 a - Sklepní kóje čp....'!$H$30</f>
        <v>0</v>
      </c>
      <c r="BB88" s="71">
        <f>'1327 a - Sklepní kóje čp....'!$H$31</f>
        <v>0</v>
      </c>
      <c r="BC88" s="71">
        <f>'1327 a - Sklepní kóje čp....'!$H$32</f>
        <v>0</v>
      </c>
      <c r="BD88" s="73">
        <f>'1327 a - Sklepní kóje čp....'!$H$33</f>
        <v>0</v>
      </c>
      <c r="BT88" s="66" t="s">
        <v>17</v>
      </c>
      <c r="BV88" s="66" t="s">
        <v>77</v>
      </c>
      <c r="BW88" s="66" t="s">
        <v>82</v>
      </c>
      <c r="BX88" s="66" t="s">
        <v>78</v>
      </c>
    </row>
    <row r="89" spans="1:76" s="66" customFormat="1" ht="28.5" customHeight="1">
      <c r="A89" s="224" t="s">
        <v>430</v>
      </c>
      <c r="B89" s="67"/>
      <c r="C89" s="68"/>
      <c r="D89" s="182" t="s">
        <v>83</v>
      </c>
      <c r="E89" s="183"/>
      <c r="F89" s="183"/>
      <c r="G89" s="183"/>
      <c r="H89" s="183"/>
      <c r="I89" s="68"/>
      <c r="J89" s="182" t="s">
        <v>84</v>
      </c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0">
        <f>'1327 b - Sklepní kóje čp....'!$M$27</f>
        <v>0</v>
      </c>
      <c r="AH89" s="181"/>
      <c r="AI89" s="181"/>
      <c r="AJ89" s="181"/>
      <c r="AK89" s="181"/>
      <c r="AL89" s="181"/>
      <c r="AM89" s="181"/>
      <c r="AN89" s="180">
        <f>ROUNDUP(SUM($AG$89,$AT$89),2)</f>
        <v>0</v>
      </c>
      <c r="AO89" s="181"/>
      <c r="AP89" s="181"/>
      <c r="AQ89" s="69"/>
      <c r="AS89" s="70">
        <f>'1327 b - Sklepní kóje čp....'!$M$25</f>
        <v>0</v>
      </c>
      <c r="AT89" s="71">
        <f>ROUNDUP(SUM($AV$89:$AW$89),1)</f>
        <v>0</v>
      </c>
      <c r="AU89" s="72">
        <f>'1327 b - Sklepní kóje čp....'!$W$125</f>
        <v>326.96778200000006</v>
      </c>
      <c r="AV89" s="71">
        <f>'1327 b - Sklepní kóje čp....'!$M$29</f>
        <v>0</v>
      </c>
      <c r="AW89" s="71">
        <f>'1327 b - Sklepní kóje čp....'!$M$30</f>
        <v>0</v>
      </c>
      <c r="AX89" s="71">
        <f>'1327 b - Sklepní kóje čp....'!$M$31</f>
        <v>0</v>
      </c>
      <c r="AY89" s="71">
        <f>'1327 b - Sklepní kóje čp....'!$M$32</f>
        <v>0</v>
      </c>
      <c r="AZ89" s="71">
        <f>'1327 b - Sklepní kóje čp....'!$H$29</f>
        <v>0</v>
      </c>
      <c r="BA89" s="71">
        <f>'1327 b - Sklepní kóje čp....'!$H$30</f>
        <v>0</v>
      </c>
      <c r="BB89" s="71">
        <f>'1327 b - Sklepní kóje čp....'!$H$31</f>
        <v>0</v>
      </c>
      <c r="BC89" s="71">
        <f>'1327 b - Sklepní kóje čp....'!$H$32</f>
        <v>0</v>
      </c>
      <c r="BD89" s="73">
        <f>'1327 b - Sklepní kóje čp....'!$H$33</f>
        <v>0</v>
      </c>
      <c r="BT89" s="66" t="s">
        <v>17</v>
      </c>
      <c r="BV89" s="66" t="s">
        <v>77</v>
      </c>
      <c r="BW89" s="66" t="s">
        <v>85</v>
      </c>
      <c r="BX89" s="66" t="s">
        <v>78</v>
      </c>
    </row>
    <row r="90" spans="1:76" s="66" customFormat="1" ht="28.5" customHeight="1">
      <c r="A90" s="224" t="s">
        <v>430</v>
      </c>
      <c r="B90" s="67"/>
      <c r="C90" s="68"/>
      <c r="D90" s="182" t="s">
        <v>86</v>
      </c>
      <c r="E90" s="183"/>
      <c r="F90" s="183"/>
      <c r="G90" s="183"/>
      <c r="H90" s="183"/>
      <c r="I90" s="68"/>
      <c r="J90" s="182" t="s">
        <v>87</v>
      </c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0">
        <f>'1327 c - Sklepní kóje čp....'!$M$27</f>
        <v>0</v>
      </c>
      <c r="AH90" s="181"/>
      <c r="AI90" s="181"/>
      <c r="AJ90" s="181"/>
      <c r="AK90" s="181"/>
      <c r="AL90" s="181"/>
      <c r="AM90" s="181"/>
      <c r="AN90" s="180">
        <f>ROUNDUP(SUM($AG$90,$AT$90),2)</f>
        <v>0</v>
      </c>
      <c r="AO90" s="181"/>
      <c r="AP90" s="181"/>
      <c r="AQ90" s="69"/>
      <c r="AS90" s="70">
        <f>'1327 c - Sklepní kóje čp....'!$M$25</f>
        <v>0</v>
      </c>
      <c r="AT90" s="71">
        <f>ROUNDUP(SUM($AV$90:$AW$90),1)</f>
        <v>0</v>
      </c>
      <c r="AU90" s="72">
        <f>'1327 c - Sklepní kóje čp....'!$W$127</f>
        <v>379.852335</v>
      </c>
      <c r="AV90" s="71">
        <f>'1327 c - Sklepní kóje čp....'!$M$29</f>
        <v>0</v>
      </c>
      <c r="AW90" s="71">
        <f>'1327 c - Sklepní kóje čp....'!$M$30</f>
        <v>0</v>
      </c>
      <c r="AX90" s="71">
        <f>'1327 c - Sklepní kóje čp....'!$M$31</f>
        <v>0</v>
      </c>
      <c r="AY90" s="71">
        <f>'1327 c - Sklepní kóje čp....'!$M$32</f>
        <v>0</v>
      </c>
      <c r="AZ90" s="71">
        <f>'1327 c - Sklepní kóje čp....'!$H$29</f>
        <v>0</v>
      </c>
      <c r="BA90" s="71">
        <f>'1327 c - Sklepní kóje čp....'!$H$30</f>
        <v>0</v>
      </c>
      <c r="BB90" s="71">
        <f>'1327 c - Sklepní kóje čp....'!$H$31</f>
        <v>0</v>
      </c>
      <c r="BC90" s="71">
        <f>'1327 c - Sklepní kóje čp....'!$H$32</f>
        <v>0</v>
      </c>
      <c r="BD90" s="73">
        <f>'1327 c - Sklepní kóje čp....'!$H$33</f>
        <v>0</v>
      </c>
      <c r="BT90" s="66" t="s">
        <v>17</v>
      </c>
      <c r="BV90" s="66" t="s">
        <v>77</v>
      </c>
      <c r="BW90" s="66" t="s">
        <v>88</v>
      </c>
      <c r="BX90" s="66" t="s">
        <v>78</v>
      </c>
    </row>
    <row r="91" spans="1:76" s="66" customFormat="1" ht="28.5" customHeight="1">
      <c r="A91" s="224" t="s">
        <v>430</v>
      </c>
      <c r="B91" s="67"/>
      <c r="C91" s="68"/>
      <c r="D91" s="182" t="s">
        <v>89</v>
      </c>
      <c r="E91" s="183"/>
      <c r="F91" s="183"/>
      <c r="G91" s="183"/>
      <c r="H91" s="183"/>
      <c r="I91" s="68"/>
      <c r="J91" s="182" t="s">
        <v>90</v>
      </c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0">
        <f>'1327 d - Sklepní kóje čp....'!$M$27</f>
        <v>0</v>
      </c>
      <c r="AH91" s="181"/>
      <c r="AI91" s="181"/>
      <c r="AJ91" s="181"/>
      <c r="AK91" s="181"/>
      <c r="AL91" s="181"/>
      <c r="AM91" s="181"/>
      <c r="AN91" s="180">
        <f>ROUNDUP(SUM($AG$91,$AT$91),2)</f>
        <v>0</v>
      </c>
      <c r="AO91" s="181"/>
      <c r="AP91" s="181"/>
      <c r="AQ91" s="69"/>
      <c r="AS91" s="70">
        <f>'1327 d - Sklepní kóje čp....'!$M$25</f>
        <v>0</v>
      </c>
      <c r="AT91" s="71">
        <f>ROUNDUP(SUM($AV$91:$AW$91),1)</f>
        <v>0</v>
      </c>
      <c r="AU91" s="72">
        <f>'1327 d - Sklepní kóje čp....'!$W$125</f>
        <v>218.256443</v>
      </c>
      <c r="AV91" s="71">
        <f>'1327 d - Sklepní kóje čp....'!$M$29</f>
        <v>0</v>
      </c>
      <c r="AW91" s="71">
        <f>'1327 d - Sklepní kóje čp....'!$M$30</f>
        <v>0</v>
      </c>
      <c r="AX91" s="71">
        <f>'1327 d - Sklepní kóje čp....'!$M$31</f>
        <v>0</v>
      </c>
      <c r="AY91" s="71">
        <f>'1327 d - Sklepní kóje čp....'!$M$32</f>
        <v>0</v>
      </c>
      <c r="AZ91" s="71">
        <f>'1327 d - Sklepní kóje čp....'!$H$29</f>
        <v>0</v>
      </c>
      <c r="BA91" s="71">
        <f>'1327 d - Sklepní kóje čp....'!$H$30</f>
        <v>0</v>
      </c>
      <c r="BB91" s="71">
        <f>'1327 d - Sklepní kóje čp....'!$H$31</f>
        <v>0</v>
      </c>
      <c r="BC91" s="71">
        <f>'1327 d - Sklepní kóje čp....'!$H$32</f>
        <v>0</v>
      </c>
      <c r="BD91" s="73">
        <f>'1327 d - Sklepní kóje čp....'!$H$33</f>
        <v>0</v>
      </c>
      <c r="BT91" s="66" t="s">
        <v>17</v>
      </c>
      <c r="BV91" s="66" t="s">
        <v>77</v>
      </c>
      <c r="BW91" s="66" t="s">
        <v>91</v>
      </c>
      <c r="BX91" s="66" t="s">
        <v>78</v>
      </c>
    </row>
    <row r="92" spans="1:76" s="66" customFormat="1" ht="28.5" customHeight="1">
      <c r="A92" s="224" t="s">
        <v>430</v>
      </c>
      <c r="B92" s="67"/>
      <c r="C92" s="68"/>
      <c r="D92" s="182" t="s">
        <v>92</v>
      </c>
      <c r="E92" s="183"/>
      <c r="F92" s="183"/>
      <c r="G92" s="183"/>
      <c r="H92" s="183"/>
      <c r="I92" s="68"/>
      <c r="J92" s="182" t="s">
        <v>93</v>
      </c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0">
        <f>'1327 f - Sklepní kóje čp....'!$M$27</f>
        <v>0</v>
      </c>
      <c r="AH92" s="181"/>
      <c r="AI92" s="181"/>
      <c r="AJ92" s="181"/>
      <c r="AK92" s="181"/>
      <c r="AL92" s="181"/>
      <c r="AM92" s="181"/>
      <c r="AN92" s="180">
        <f>ROUNDUP(SUM($AG$92,$AT$92),2)</f>
        <v>0</v>
      </c>
      <c r="AO92" s="181"/>
      <c r="AP92" s="181"/>
      <c r="AQ92" s="69"/>
      <c r="AS92" s="70">
        <f>'1327 f - Sklepní kóje čp....'!$M$25</f>
        <v>0</v>
      </c>
      <c r="AT92" s="71">
        <f>ROUNDUP(SUM($AV$92:$AW$92),1)</f>
        <v>0</v>
      </c>
      <c r="AU92" s="72">
        <f>'1327 f - Sklepní kóje čp....'!$W$125</f>
        <v>217.19023299999998</v>
      </c>
      <c r="AV92" s="71">
        <f>'1327 f - Sklepní kóje čp....'!$M$29</f>
        <v>0</v>
      </c>
      <c r="AW92" s="71">
        <f>'1327 f - Sklepní kóje čp....'!$M$30</f>
        <v>0</v>
      </c>
      <c r="AX92" s="71">
        <f>'1327 f - Sklepní kóje čp....'!$M$31</f>
        <v>0</v>
      </c>
      <c r="AY92" s="71">
        <f>'1327 f - Sklepní kóje čp....'!$M$32</f>
        <v>0</v>
      </c>
      <c r="AZ92" s="71">
        <f>'1327 f - Sklepní kóje čp....'!$H$29</f>
        <v>0</v>
      </c>
      <c r="BA92" s="71">
        <f>'1327 f - Sklepní kóje čp....'!$H$30</f>
        <v>0</v>
      </c>
      <c r="BB92" s="71">
        <f>'1327 f - Sklepní kóje čp....'!$H$31</f>
        <v>0</v>
      </c>
      <c r="BC92" s="71">
        <f>'1327 f - Sklepní kóje čp....'!$H$32</f>
        <v>0</v>
      </c>
      <c r="BD92" s="73">
        <f>'1327 f - Sklepní kóje čp....'!$H$33</f>
        <v>0</v>
      </c>
      <c r="BT92" s="66" t="s">
        <v>17</v>
      </c>
      <c r="BV92" s="66" t="s">
        <v>77</v>
      </c>
      <c r="BW92" s="66" t="s">
        <v>94</v>
      </c>
      <c r="BX92" s="66" t="s">
        <v>78</v>
      </c>
    </row>
    <row r="93" spans="1:76" s="66" customFormat="1" ht="28.5" customHeight="1">
      <c r="A93" s="224" t="s">
        <v>430</v>
      </c>
      <c r="B93" s="67"/>
      <c r="C93" s="68"/>
      <c r="D93" s="182" t="s">
        <v>95</v>
      </c>
      <c r="E93" s="183"/>
      <c r="F93" s="183"/>
      <c r="G93" s="183"/>
      <c r="H93" s="183"/>
      <c r="I93" s="68"/>
      <c r="J93" s="182" t="s">
        <v>96</v>
      </c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0">
        <f>'1327 e - Sklepní kóje čp....'!$M$27</f>
        <v>0</v>
      </c>
      <c r="AH93" s="181"/>
      <c r="AI93" s="181"/>
      <c r="AJ93" s="181"/>
      <c r="AK93" s="181"/>
      <c r="AL93" s="181"/>
      <c r="AM93" s="181"/>
      <c r="AN93" s="180">
        <f>ROUNDUP(SUM($AG$93,$AT$93),2)</f>
        <v>0</v>
      </c>
      <c r="AO93" s="181"/>
      <c r="AP93" s="181"/>
      <c r="AQ93" s="69"/>
      <c r="AS93" s="74">
        <f>'1327 e - Sklepní kóje čp....'!$M$25</f>
        <v>0</v>
      </c>
      <c r="AT93" s="75">
        <f>ROUNDUP(SUM($AV$93:$AW$93),1)</f>
        <v>0</v>
      </c>
      <c r="AU93" s="76">
        <f>'1327 e - Sklepní kóje čp....'!$W$127</f>
        <v>228.93338400000002</v>
      </c>
      <c r="AV93" s="75">
        <f>'1327 e - Sklepní kóje čp....'!$M$29</f>
        <v>0</v>
      </c>
      <c r="AW93" s="75">
        <f>'1327 e - Sklepní kóje čp....'!$M$30</f>
        <v>0</v>
      </c>
      <c r="AX93" s="75">
        <f>'1327 e - Sklepní kóje čp....'!$M$31</f>
        <v>0</v>
      </c>
      <c r="AY93" s="75">
        <f>'1327 e - Sklepní kóje čp....'!$M$32</f>
        <v>0</v>
      </c>
      <c r="AZ93" s="75">
        <f>'1327 e - Sklepní kóje čp....'!$H$29</f>
        <v>0</v>
      </c>
      <c r="BA93" s="75">
        <f>'1327 e - Sklepní kóje čp....'!$H$30</f>
        <v>0</v>
      </c>
      <c r="BB93" s="75">
        <f>'1327 e - Sklepní kóje čp....'!$H$31</f>
        <v>0</v>
      </c>
      <c r="BC93" s="75">
        <f>'1327 e - Sklepní kóje čp....'!$H$32</f>
        <v>0</v>
      </c>
      <c r="BD93" s="77">
        <f>'1327 e - Sklepní kóje čp....'!$H$33</f>
        <v>0</v>
      </c>
      <c r="BT93" s="66" t="s">
        <v>17</v>
      </c>
      <c r="BV93" s="66" t="s">
        <v>77</v>
      </c>
      <c r="BW93" s="66" t="s">
        <v>97</v>
      </c>
      <c r="BX93" s="66" t="s">
        <v>78</v>
      </c>
    </row>
    <row r="94" spans="2:43" s="2" customFormat="1" ht="14.25" customHeight="1">
      <c r="B94" s="10"/>
      <c r="AQ94" s="11"/>
    </row>
    <row r="95" spans="2:49" s="6" customFormat="1" ht="30.75" customHeight="1">
      <c r="B95" s="21"/>
      <c r="C95" s="60" t="s">
        <v>98</v>
      </c>
      <c r="AG95" s="187">
        <f>ROUNDUP(SUM($AG$96:$AG$108),2)</f>
        <v>0</v>
      </c>
      <c r="AH95" s="161"/>
      <c r="AI95" s="161"/>
      <c r="AJ95" s="161"/>
      <c r="AK95" s="161"/>
      <c r="AL95" s="161"/>
      <c r="AM95" s="161"/>
      <c r="AN95" s="187">
        <f>ROUNDUP(SUM($AN$96:$AN$108),2)</f>
        <v>0</v>
      </c>
      <c r="AO95" s="161"/>
      <c r="AP95" s="161"/>
      <c r="AQ95" s="22"/>
      <c r="AS95" s="55" t="s">
        <v>99</v>
      </c>
      <c r="AT95" s="56" t="s">
        <v>100</v>
      </c>
      <c r="AU95" s="56" t="s">
        <v>39</v>
      </c>
      <c r="AV95" s="57" t="s">
        <v>62</v>
      </c>
      <c r="AW95" s="58"/>
    </row>
    <row r="96" spans="2:89" s="6" customFormat="1" ht="21" customHeight="1">
      <c r="B96" s="21"/>
      <c r="D96" s="78" t="s">
        <v>101</v>
      </c>
      <c r="AG96" s="184">
        <f>ROUNDUP($AG$87*$AS$96,2)</f>
        <v>0</v>
      </c>
      <c r="AH96" s="161"/>
      <c r="AI96" s="161"/>
      <c r="AJ96" s="161"/>
      <c r="AK96" s="161"/>
      <c r="AL96" s="161"/>
      <c r="AM96" s="161"/>
      <c r="AN96" s="185">
        <f>ROUNDUP($AG$96+$AV$96,2)</f>
        <v>0</v>
      </c>
      <c r="AO96" s="161"/>
      <c r="AP96" s="161"/>
      <c r="AQ96" s="22"/>
      <c r="AS96" s="79">
        <v>0</v>
      </c>
      <c r="AT96" s="80" t="s">
        <v>102</v>
      </c>
      <c r="AU96" s="80" t="s">
        <v>40</v>
      </c>
      <c r="AV96" s="81">
        <f>ROUNDUP(IF($AU$96="základní",$AG$96*$L$28,IF($AU$96="snížená",$AG$96*$L$29,0)),2)</f>
        <v>0</v>
      </c>
      <c r="BV96" s="6" t="s">
        <v>103</v>
      </c>
      <c r="BY96" s="82">
        <f>IF($AU$96="základní",$AV$96,0)</f>
        <v>0</v>
      </c>
      <c r="BZ96" s="82">
        <f>IF($AU$96="snížená",$AV$96,0)</f>
        <v>0</v>
      </c>
      <c r="CA96" s="82">
        <v>0</v>
      </c>
      <c r="CB96" s="82">
        <v>0</v>
      </c>
      <c r="CC96" s="82">
        <v>0</v>
      </c>
      <c r="CD96" s="82">
        <f>IF($AU$96="základní",$AG$96,0)</f>
        <v>0</v>
      </c>
      <c r="CE96" s="82">
        <f>IF($AU$96="snížená",$AG$96,0)</f>
        <v>0</v>
      </c>
      <c r="CF96" s="82">
        <f>IF($AU$96="zákl. přenesená",$AG$96,0)</f>
        <v>0</v>
      </c>
      <c r="CG96" s="82">
        <f>IF($AU$96="sníž. přenesená",$AG$96,0)</f>
        <v>0</v>
      </c>
      <c r="CH96" s="82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 t="str">
        <f>IF($D$96="Vyplň vlastní","","x")</f>
        <v>x</v>
      </c>
    </row>
    <row r="97" spans="2:89" s="6" customFormat="1" ht="21" customHeight="1">
      <c r="B97" s="21"/>
      <c r="D97" s="78" t="s">
        <v>104</v>
      </c>
      <c r="AG97" s="184">
        <f>ROUNDUP($AG$87*$AS$97,2)</f>
        <v>0</v>
      </c>
      <c r="AH97" s="161"/>
      <c r="AI97" s="161"/>
      <c r="AJ97" s="161"/>
      <c r="AK97" s="161"/>
      <c r="AL97" s="161"/>
      <c r="AM97" s="161"/>
      <c r="AN97" s="185">
        <f>ROUNDUP($AG$97+$AV$97,2)</f>
        <v>0</v>
      </c>
      <c r="AO97" s="161"/>
      <c r="AP97" s="161"/>
      <c r="AQ97" s="22"/>
      <c r="AS97" s="83">
        <v>0</v>
      </c>
      <c r="AT97" s="84" t="s">
        <v>102</v>
      </c>
      <c r="AU97" s="84" t="s">
        <v>40</v>
      </c>
      <c r="AV97" s="85">
        <f>ROUNDUP(IF($AU$97="základní",$AG$97*$L$28,IF($AU$97="snížená",$AG$97*$L$29,0)),2)</f>
        <v>0</v>
      </c>
      <c r="BV97" s="6" t="s">
        <v>103</v>
      </c>
      <c r="BY97" s="82">
        <f>IF($AU$97="základní",$AV$97,0)</f>
        <v>0</v>
      </c>
      <c r="BZ97" s="82">
        <f>IF($AU$97="snížená",$AV$97,0)</f>
        <v>0</v>
      </c>
      <c r="CA97" s="82">
        <v>0</v>
      </c>
      <c r="CB97" s="82">
        <v>0</v>
      </c>
      <c r="CC97" s="82">
        <v>0</v>
      </c>
      <c r="CD97" s="82">
        <f>IF($AU$97="základní",$AG$97,0)</f>
        <v>0</v>
      </c>
      <c r="CE97" s="82">
        <f>IF($AU$97="snížená",$AG$97,0)</f>
        <v>0</v>
      </c>
      <c r="CF97" s="82">
        <f>IF($AU$97="zákl. přenesená",$AG$97,0)</f>
        <v>0</v>
      </c>
      <c r="CG97" s="82">
        <f>IF($AU$97="sníž. přenesená",$AG$97,0)</f>
        <v>0</v>
      </c>
      <c r="CH97" s="82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 t="str">
        <f>IF($D$97="Vyplň vlastní","","x")</f>
        <v>x</v>
      </c>
    </row>
    <row r="98" spans="2:89" s="6" customFormat="1" ht="21" customHeight="1">
      <c r="B98" s="21"/>
      <c r="D98" s="78" t="s">
        <v>105</v>
      </c>
      <c r="AG98" s="184">
        <f>ROUNDUP($AG$87*$AS$98,2)</f>
        <v>0</v>
      </c>
      <c r="AH98" s="161"/>
      <c r="AI98" s="161"/>
      <c r="AJ98" s="161"/>
      <c r="AK98" s="161"/>
      <c r="AL98" s="161"/>
      <c r="AM98" s="161"/>
      <c r="AN98" s="185">
        <f>ROUNDUP($AG$98+$AV$98,2)</f>
        <v>0</v>
      </c>
      <c r="AO98" s="161"/>
      <c r="AP98" s="161"/>
      <c r="AQ98" s="22"/>
      <c r="AS98" s="83">
        <v>0</v>
      </c>
      <c r="AT98" s="84" t="s">
        <v>102</v>
      </c>
      <c r="AU98" s="84" t="s">
        <v>40</v>
      </c>
      <c r="AV98" s="85">
        <f>ROUNDUP(IF($AU$98="základní",$AG$98*$L$28,IF($AU$98="snížená",$AG$98*$L$29,0)),2)</f>
        <v>0</v>
      </c>
      <c r="BV98" s="6" t="s">
        <v>103</v>
      </c>
      <c r="BY98" s="82">
        <f>IF($AU$98="základní",$AV$98,0)</f>
        <v>0</v>
      </c>
      <c r="BZ98" s="82">
        <f>IF($AU$98="snížená",$AV$98,0)</f>
        <v>0</v>
      </c>
      <c r="CA98" s="82">
        <v>0</v>
      </c>
      <c r="CB98" s="82">
        <v>0</v>
      </c>
      <c r="CC98" s="82">
        <v>0</v>
      </c>
      <c r="CD98" s="82">
        <f>IF($AU$98="základní",$AG$98,0)</f>
        <v>0</v>
      </c>
      <c r="CE98" s="82">
        <f>IF($AU$98="snížená",$AG$98,0)</f>
        <v>0</v>
      </c>
      <c r="CF98" s="82">
        <f>IF($AU$98="zákl. přenesená",$AG$98,0)</f>
        <v>0</v>
      </c>
      <c r="CG98" s="82">
        <f>IF($AU$98="sníž. přenesená",$AG$98,0)</f>
        <v>0</v>
      </c>
      <c r="CH98" s="82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1"/>
      <c r="D99" s="78" t="s">
        <v>106</v>
      </c>
      <c r="AG99" s="184">
        <f>ROUNDUP($AG$87*$AS$99,2)</f>
        <v>0</v>
      </c>
      <c r="AH99" s="161"/>
      <c r="AI99" s="161"/>
      <c r="AJ99" s="161"/>
      <c r="AK99" s="161"/>
      <c r="AL99" s="161"/>
      <c r="AM99" s="161"/>
      <c r="AN99" s="185">
        <f>ROUNDUP($AG$99+$AV$99,2)</f>
        <v>0</v>
      </c>
      <c r="AO99" s="161"/>
      <c r="AP99" s="161"/>
      <c r="AQ99" s="22"/>
      <c r="AS99" s="83">
        <v>0</v>
      </c>
      <c r="AT99" s="84" t="s">
        <v>102</v>
      </c>
      <c r="AU99" s="84" t="s">
        <v>40</v>
      </c>
      <c r="AV99" s="85">
        <f>ROUNDUP(IF($AU$99="základní",$AG$99*$L$28,IF($AU$99="snížená",$AG$99*$L$29,0)),2)</f>
        <v>0</v>
      </c>
      <c r="BV99" s="6" t="s">
        <v>103</v>
      </c>
      <c r="BY99" s="82">
        <f>IF($AU$99="základní",$AV$99,0)</f>
        <v>0</v>
      </c>
      <c r="BZ99" s="82">
        <f>IF($AU$99="snížená",$AV$99,0)</f>
        <v>0</v>
      </c>
      <c r="CA99" s="82">
        <v>0</v>
      </c>
      <c r="CB99" s="82">
        <v>0</v>
      </c>
      <c r="CC99" s="82">
        <v>0</v>
      </c>
      <c r="CD99" s="82">
        <f>IF($AU$99="základní",$AG$99,0)</f>
        <v>0</v>
      </c>
      <c r="CE99" s="82">
        <f>IF($AU$99="snížená",$AG$99,0)</f>
        <v>0</v>
      </c>
      <c r="CF99" s="82">
        <f>IF($AU$99="zákl. přenesená",$AG$99,0)</f>
        <v>0</v>
      </c>
      <c r="CG99" s="82">
        <f>IF($AU$99="sníž. přenesená",$AG$99,0)</f>
        <v>0</v>
      </c>
      <c r="CH99" s="82">
        <f>IF($AU$99="nulová",$AG$99,0)</f>
        <v>0</v>
      </c>
      <c r="CI99" s="6">
        <f>IF($AU$99="základní",1,IF($AU$99="snížená",2,IF($AU$99="zákl. přenesená",4,IF($AU$99="sníž. přenesená",5,3))))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1"/>
      <c r="D100" s="78" t="s">
        <v>107</v>
      </c>
      <c r="AG100" s="184">
        <f>ROUNDUP($AG$87*$AS$100,2)</f>
        <v>0</v>
      </c>
      <c r="AH100" s="161"/>
      <c r="AI100" s="161"/>
      <c r="AJ100" s="161"/>
      <c r="AK100" s="161"/>
      <c r="AL100" s="161"/>
      <c r="AM100" s="161"/>
      <c r="AN100" s="185">
        <f>ROUNDUP($AG$100+$AV$100,2)</f>
        <v>0</v>
      </c>
      <c r="AO100" s="161"/>
      <c r="AP100" s="161"/>
      <c r="AQ100" s="22"/>
      <c r="AS100" s="83">
        <v>0</v>
      </c>
      <c r="AT100" s="84" t="s">
        <v>102</v>
      </c>
      <c r="AU100" s="84" t="s">
        <v>40</v>
      </c>
      <c r="AV100" s="85">
        <f>ROUNDUP(IF($AU$100="základní",$AG$100*$L$28,IF($AU$100="snížená",$AG$100*$L$29,0)),2)</f>
        <v>0</v>
      </c>
      <c r="BV100" s="6" t="s">
        <v>103</v>
      </c>
      <c r="BY100" s="82">
        <f>IF($AU$100="základní",$AV$100,0)</f>
        <v>0</v>
      </c>
      <c r="BZ100" s="82">
        <f>IF($AU$100="snížená",$AV$100,0)</f>
        <v>0</v>
      </c>
      <c r="CA100" s="82">
        <v>0</v>
      </c>
      <c r="CB100" s="82">
        <v>0</v>
      </c>
      <c r="CC100" s="82">
        <v>0</v>
      </c>
      <c r="CD100" s="82">
        <f>IF($AU$100="základní",$AG$100,0)</f>
        <v>0</v>
      </c>
      <c r="CE100" s="82">
        <f>IF($AU$100="snížená",$AG$100,0)</f>
        <v>0</v>
      </c>
      <c r="CF100" s="82">
        <f>IF($AU$100="zákl. přenesená",$AG$100,0)</f>
        <v>0</v>
      </c>
      <c r="CG100" s="82">
        <f>IF($AU$100="sníž. přenesená",$AG$100,0)</f>
        <v>0</v>
      </c>
      <c r="CH100" s="82">
        <f>IF($AU$100="nulová",$AG$100,0)</f>
        <v>0</v>
      </c>
      <c r="CI100" s="6">
        <f>IF($AU$100="základní",1,IF($AU$100="snížená",2,IF($AU$100="zákl. přenesená",4,IF($AU$100="sníž. přenesená",5,3))))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1"/>
      <c r="D101" s="78" t="s">
        <v>108</v>
      </c>
      <c r="AG101" s="184">
        <f>ROUNDUP($AG$87*$AS$101,2)</f>
        <v>0</v>
      </c>
      <c r="AH101" s="161"/>
      <c r="AI101" s="161"/>
      <c r="AJ101" s="161"/>
      <c r="AK101" s="161"/>
      <c r="AL101" s="161"/>
      <c r="AM101" s="161"/>
      <c r="AN101" s="185">
        <f>ROUNDUP($AG$101+$AV$101,2)</f>
        <v>0</v>
      </c>
      <c r="AO101" s="161"/>
      <c r="AP101" s="161"/>
      <c r="AQ101" s="22"/>
      <c r="AS101" s="83">
        <v>0</v>
      </c>
      <c r="AT101" s="84" t="s">
        <v>102</v>
      </c>
      <c r="AU101" s="84" t="s">
        <v>40</v>
      </c>
      <c r="AV101" s="85">
        <f>ROUNDUP(IF($AU$101="základní",$AG$101*$L$28,IF($AU$101="snížená",$AG$101*$L$29,0)),2)</f>
        <v>0</v>
      </c>
      <c r="BV101" s="6" t="s">
        <v>103</v>
      </c>
      <c r="BY101" s="82">
        <f>IF($AU$101="základní",$AV$101,0)</f>
        <v>0</v>
      </c>
      <c r="BZ101" s="82">
        <f>IF($AU$101="snížená",$AV$101,0)</f>
        <v>0</v>
      </c>
      <c r="CA101" s="82">
        <v>0</v>
      </c>
      <c r="CB101" s="82">
        <v>0</v>
      </c>
      <c r="CC101" s="82">
        <v>0</v>
      </c>
      <c r="CD101" s="82">
        <f>IF($AU$101="základní",$AG$101,0)</f>
        <v>0</v>
      </c>
      <c r="CE101" s="82">
        <f>IF($AU$101="snížená",$AG$101,0)</f>
        <v>0</v>
      </c>
      <c r="CF101" s="82">
        <f>IF($AU$101="zákl. přenesená",$AG$101,0)</f>
        <v>0</v>
      </c>
      <c r="CG101" s="82">
        <f>IF($AU$101="sníž. přenesená",$AG$101,0)</f>
        <v>0</v>
      </c>
      <c r="CH101" s="82">
        <f>IF($AU$101="nulová",$AG$101,0)</f>
        <v>0</v>
      </c>
      <c r="CI101" s="6">
        <f>IF($AU$101="základní",1,IF($AU$101="snížená",2,IF($AU$101="zákl. přenesená",4,IF($AU$101="sníž. přenesená",5,3))))</f>
        <v>1</v>
      </c>
      <c r="CJ101" s="6">
        <f>IF($AT$101="stavební čast",1,IF(88101="investiční čast",2,3))</f>
        <v>1</v>
      </c>
      <c r="CK101" s="6" t="str">
        <f>IF($D$101="Vyplň vlastní","","x")</f>
        <v>x</v>
      </c>
    </row>
    <row r="102" spans="2:89" s="6" customFormat="1" ht="21" customHeight="1">
      <c r="B102" s="21"/>
      <c r="D102" s="78" t="s">
        <v>109</v>
      </c>
      <c r="AG102" s="184">
        <f>ROUNDUP($AG$87*$AS$102,2)</f>
        <v>0</v>
      </c>
      <c r="AH102" s="161"/>
      <c r="AI102" s="161"/>
      <c r="AJ102" s="161"/>
      <c r="AK102" s="161"/>
      <c r="AL102" s="161"/>
      <c r="AM102" s="161"/>
      <c r="AN102" s="185">
        <f>ROUNDUP($AG$102+$AV$102,2)</f>
        <v>0</v>
      </c>
      <c r="AO102" s="161"/>
      <c r="AP102" s="161"/>
      <c r="AQ102" s="22"/>
      <c r="AS102" s="83">
        <v>0</v>
      </c>
      <c r="AT102" s="84" t="s">
        <v>102</v>
      </c>
      <c r="AU102" s="84" t="s">
        <v>40</v>
      </c>
      <c r="AV102" s="85">
        <f>ROUNDUP(IF($AU$102="základní",$AG$102*$L$28,IF($AU$102="snížená",$AG$102*$L$29,0)),2)</f>
        <v>0</v>
      </c>
      <c r="BV102" s="6" t="s">
        <v>103</v>
      </c>
      <c r="BY102" s="82">
        <f>IF($AU$102="základní",$AV$102,0)</f>
        <v>0</v>
      </c>
      <c r="BZ102" s="82">
        <f>IF($AU$102="snížená",$AV$102,0)</f>
        <v>0</v>
      </c>
      <c r="CA102" s="82">
        <v>0</v>
      </c>
      <c r="CB102" s="82">
        <v>0</v>
      </c>
      <c r="CC102" s="82">
        <v>0</v>
      </c>
      <c r="CD102" s="82">
        <f>IF($AU$102="základní",$AG$102,0)</f>
        <v>0</v>
      </c>
      <c r="CE102" s="82">
        <f>IF($AU$102="snížená",$AG$102,0)</f>
        <v>0</v>
      </c>
      <c r="CF102" s="82">
        <f>IF($AU$102="zákl. přenesená",$AG$102,0)</f>
        <v>0</v>
      </c>
      <c r="CG102" s="82">
        <f>IF($AU$102="sníž. přenesená",$AG$102,0)</f>
        <v>0</v>
      </c>
      <c r="CH102" s="82">
        <f>IF($AU$102="nulová",$AG$102,0)</f>
        <v>0</v>
      </c>
      <c r="CI102" s="6">
        <f>IF($AU$102="základní",1,IF($AU$102="snížená",2,IF($AU$102="zákl. přenesená",4,IF($AU$102="sníž. přenesená",5,3))))</f>
        <v>1</v>
      </c>
      <c r="CJ102" s="6">
        <f>IF($AT$102="stavební čast",1,IF(88102="investiční čast",2,3))</f>
        <v>1</v>
      </c>
      <c r="CK102" s="6" t="str">
        <f>IF($D$102="Vyplň vlastní","","x")</f>
        <v>x</v>
      </c>
    </row>
    <row r="103" spans="2:89" s="6" customFormat="1" ht="21" customHeight="1">
      <c r="B103" s="21"/>
      <c r="D103" s="78" t="s">
        <v>110</v>
      </c>
      <c r="AG103" s="184">
        <f>ROUNDUP($AG$87*$AS$103,2)</f>
        <v>0</v>
      </c>
      <c r="AH103" s="161"/>
      <c r="AI103" s="161"/>
      <c r="AJ103" s="161"/>
      <c r="AK103" s="161"/>
      <c r="AL103" s="161"/>
      <c r="AM103" s="161"/>
      <c r="AN103" s="185">
        <f>ROUNDUP($AG$103+$AV$103,2)</f>
        <v>0</v>
      </c>
      <c r="AO103" s="161"/>
      <c r="AP103" s="161"/>
      <c r="AQ103" s="22"/>
      <c r="AS103" s="83">
        <v>0</v>
      </c>
      <c r="AT103" s="84" t="s">
        <v>102</v>
      </c>
      <c r="AU103" s="84" t="s">
        <v>40</v>
      </c>
      <c r="AV103" s="85">
        <f>ROUNDUP(IF($AU$103="základní",$AG$103*$L$28,IF($AU$103="snížená",$AG$103*$L$29,0)),2)</f>
        <v>0</v>
      </c>
      <c r="BV103" s="6" t="s">
        <v>103</v>
      </c>
      <c r="BY103" s="82">
        <f>IF($AU$103="základní",$AV$103,0)</f>
        <v>0</v>
      </c>
      <c r="BZ103" s="82">
        <f>IF($AU$103="snížená",$AV$103,0)</f>
        <v>0</v>
      </c>
      <c r="CA103" s="82">
        <v>0</v>
      </c>
      <c r="CB103" s="82">
        <v>0</v>
      </c>
      <c r="CC103" s="82">
        <v>0</v>
      </c>
      <c r="CD103" s="82">
        <f>IF($AU$103="základní",$AG$103,0)</f>
        <v>0</v>
      </c>
      <c r="CE103" s="82">
        <f>IF($AU$103="snížená",$AG$103,0)</f>
        <v>0</v>
      </c>
      <c r="CF103" s="82">
        <f>IF($AU$103="zákl. přenesená",$AG$103,0)</f>
        <v>0</v>
      </c>
      <c r="CG103" s="82">
        <f>IF($AU$103="sníž. přenesená",$AG$103,0)</f>
        <v>0</v>
      </c>
      <c r="CH103" s="82">
        <f>IF($AU$103="nulová",$AG$103,0)</f>
        <v>0</v>
      </c>
      <c r="CI103" s="6">
        <f>IF($AU$103="základní",1,IF($AU$103="snížená",2,IF($AU$103="zákl. přenesená",4,IF($AU$103="sníž. přenesená",5,3))))</f>
        <v>1</v>
      </c>
      <c r="CJ103" s="6">
        <f>IF($AT$103="stavební čast",1,IF(88103="investiční čast",2,3))</f>
        <v>1</v>
      </c>
      <c r="CK103" s="6" t="str">
        <f>IF($D$103="Vyplň vlastní","","x")</f>
        <v>x</v>
      </c>
    </row>
    <row r="104" spans="2:89" s="6" customFormat="1" ht="21" customHeight="1">
      <c r="B104" s="21"/>
      <c r="D104" s="78" t="s">
        <v>111</v>
      </c>
      <c r="AG104" s="184">
        <f>ROUNDUP($AG$87*$AS$104,2)</f>
        <v>0</v>
      </c>
      <c r="AH104" s="161"/>
      <c r="AI104" s="161"/>
      <c r="AJ104" s="161"/>
      <c r="AK104" s="161"/>
      <c r="AL104" s="161"/>
      <c r="AM104" s="161"/>
      <c r="AN104" s="185">
        <f>ROUNDUP($AG$104+$AV$104,2)</f>
        <v>0</v>
      </c>
      <c r="AO104" s="161"/>
      <c r="AP104" s="161"/>
      <c r="AQ104" s="22"/>
      <c r="AS104" s="83">
        <v>0</v>
      </c>
      <c r="AT104" s="84" t="s">
        <v>102</v>
      </c>
      <c r="AU104" s="84" t="s">
        <v>40</v>
      </c>
      <c r="AV104" s="85">
        <f>ROUNDUP(IF($AU$104="základní",$AG$104*$L$28,IF($AU$104="snížená",$AG$104*$L$29,0)),2)</f>
        <v>0</v>
      </c>
      <c r="BV104" s="6" t="s">
        <v>103</v>
      </c>
      <c r="BY104" s="82">
        <f>IF($AU$104="základní",$AV$104,0)</f>
        <v>0</v>
      </c>
      <c r="BZ104" s="82">
        <f>IF($AU$104="snížená",$AV$104,0)</f>
        <v>0</v>
      </c>
      <c r="CA104" s="82">
        <v>0</v>
      </c>
      <c r="CB104" s="82">
        <v>0</v>
      </c>
      <c r="CC104" s="82">
        <v>0</v>
      </c>
      <c r="CD104" s="82">
        <f>IF($AU$104="základní",$AG$104,0)</f>
        <v>0</v>
      </c>
      <c r="CE104" s="82">
        <f>IF($AU$104="snížená",$AG$104,0)</f>
        <v>0</v>
      </c>
      <c r="CF104" s="82">
        <f>IF($AU$104="zákl. přenesená",$AG$104,0)</f>
        <v>0</v>
      </c>
      <c r="CG104" s="82">
        <f>IF($AU$104="sníž. přenesená",$AG$104,0)</f>
        <v>0</v>
      </c>
      <c r="CH104" s="82">
        <f>IF($AU$104="nulová",$AG$104,0)</f>
        <v>0</v>
      </c>
      <c r="CI104" s="6">
        <f>IF($AU$104="základní",1,IF($AU$104="snížená",2,IF($AU$104="zákl. přenesená",4,IF($AU$104="sníž. přenesená",5,3))))</f>
        <v>1</v>
      </c>
      <c r="CJ104" s="6">
        <f>IF($AT$104="stavební čast",1,IF(88104="investiční čast",2,3))</f>
        <v>1</v>
      </c>
      <c r="CK104" s="6" t="str">
        <f>IF($D$104="Vyplň vlastní","","x")</f>
        <v>x</v>
      </c>
    </row>
    <row r="105" spans="2:89" s="6" customFormat="1" ht="21" customHeight="1">
      <c r="B105" s="21"/>
      <c r="D105" s="78" t="s">
        <v>112</v>
      </c>
      <c r="AG105" s="184">
        <f>ROUNDUP($AG$87*$AS$105,2)</f>
        <v>0</v>
      </c>
      <c r="AH105" s="161"/>
      <c r="AI105" s="161"/>
      <c r="AJ105" s="161"/>
      <c r="AK105" s="161"/>
      <c r="AL105" s="161"/>
      <c r="AM105" s="161"/>
      <c r="AN105" s="185">
        <f>ROUNDUP($AG$105+$AV$105,2)</f>
        <v>0</v>
      </c>
      <c r="AO105" s="161"/>
      <c r="AP105" s="161"/>
      <c r="AQ105" s="22"/>
      <c r="AS105" s="83">
        <v>0</v>
      </c>
      <c r="AT105" s="84" t="s">
        <v>102</v>
      </c>
      <c r="AU105" s="84" t="s">
        <v>40</v>
      </c>
      <c r="AV105" s="85">
        <f>ROUNDUP(IF($AU$105="základní",$AG$105*$L$28,IF($AU$105="snížená",$AG$105*$L$29,0)),2)</f>
        <v>0</v>
      </c>
      <c r="BV105" s="6" t="s">
        <v>103</v>
      </c>
      <c r="BY105" s="82">
        <f>IF($AU$105="základní",$AV$105,0)</f>
        <v>0</v>
      </c>
      <c r="BZ105" s="82">
        <f>IF($AU$105="snížená",$AV$105,0)</f>
        <v>0</v>
      </c>
      <c r="CA105" s="82">
        <v>0</v>
      </c>
      <c r="CB105" s="82">
        <v>0</v>
      </c>
      <c r="CC105" s="82">
        <v>0</v>
      </c>
      <c r="CD105" s="82">
        <f>IF($AU$105="základní",$AG$105,0)</f>
        <v>0</v>
      </c>
      <c r="CE105" s="82">
        <f>IF($AU$105="snížená",$AG$105,0)</f>
        <v>0</v>
      </c>
      <c r="CF105" s="82">
        <f>IF($AU$105="zákl. přenesená",$AG$105,0)</f>
        <v>0</v>
      </c>
      <c r="CG105" s="82">
        <f>IF($AU$105="sníž. přenesená",$AG$105,0)</f>
        <v>0</v>
      </c>
      <c r="CH105" s="82">
        <f>IF($AU$105="nulová",$AG$105,0)</f>
        <v>0</v>
      </c>
      <c r="CI105" s="6">
        <f>IF($AU$105="základní",1,IF($AU$105="snížená",2,IF($AU$105="zákl. přenesená",4,IF($AU$105="sníž. přenesená",5,3))))</f>
        <v>1</v>
      </c>
      <c r="CJ105" s="6">
        <f>IF($AT$105="stavební čast",1,IF(88105="investiční čast",2,3))</f>
        <v>1</v>
      </c>
      <c r="CK105" s="6" t="str">
        <f>IF($D$105="Vyplň vlastní","","x")</f>
        <v>x</v>
      </c>
    </row>
    <row r="106" spans="2:89" s="6" customFormat="1" ht="21" customHeight="1">
      <c r="B106" s="21"/>
      <c r="D106" s="186" t="s">
        <v>113</v>
      </c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G106" s="184">
        <f>$AG$87*$AS$106</f>
        <v>0</v>
      </c>
      <c r="AH106" s="161"/>
      <c r="AI106" s="161"/>
      <c r="AJ106" s="161"/>
      <c r="AK106" s="161"/>
      <c r="AL106" s="161"/>
      <c r="AM106" s="161"/>
      <c r="AN106" s="185">
        <f>$AG$106+$AV$106</f>
        <v>0</v>
      </c>
      <c r="AO106" s="161"/>
      <c r="AP106" s="161"/>
      <c r="AQ106" s="22"/>
      <c r="AS106" s="83">
        <v>0</v>
      </c>
      <c r="AT106" s="84" t="s">
        <v>102</v>
      </c>
      <c r="AU106" s="84" t="s">
        <v>40</v>
      </c>
      <c r="AV106" s="85">
        <f>ROUNDUP(IF($AU$106="nulová",0,IF(OR($AU$106="základní",$AU$106="zákl. přenesená"),$AG$106*$L$28,$AG$106*$L$29)),1)</f>
        <v>0</v>
      </c>
      <c r="BV106" s="6" t="s">
        <v>114</v>
      </c>
      <c r="BY106" s="82">
        <f>IF($AU$106="základní",$AV$106,0)</f>
        <v>0</v>
      </c>
      <c r="BZ106" s="82">
        <f>IF($AU$106="snížená",$AV$106,0)</f>
        <v>0</v>
      </c>
      <c r="CA106" s="82">
        <f>IF($AU$106="zákl. přenesená",$AV$106,0)</f>
        <v>0</v>
      </c>
      <c r="CB106" s="82">
        <f>IF($AU$106="sníž. přenesená",$AV$106,0)</f>
        <v>0</v>
      </c>
      <c r="CC106" s="82">
        <f>IF($AU$106="nulová",$AV$106,0)</f>
        <v>0</v>
      </c>
      <c r="CD106" s="82">
        <f>IF($AU$106="základní",$AG$106,0)</f>
        <v>0</v>
      </c>
      <c r="CE106" s="82">
        <f>IF($AU$106="snížená",$AG$106,0)</f>
        <v>0</v>
      </c>
      <c r="CF106" s="82">
        <f>IF($AU$106="zákl. přenesená",$AG$106,0)</f>
        <v>0</v>
      </c>
      <c r="CG106" s="82">
        <f>IF($AU$106="sníž. přenesená",$AG$106,0)</f>
        <v>0</v>
      </c>
      <c r="CH106" s="82">
        <f>IF($AU$106="nulová",$AG$106,0)</f>
        <v>0</v>
      </c>
      <c r="CI106" s="6">
        <f>IF($AU$106="základní",1,IF($AU$106="snížená",2,IF($AU$106="zákl. přenesená",4,IF($AU$106="sníž. přenesená",5,3))))</f>
        <v>1</v>
      </c>
      <c r="CJ106" s="6">
        <f>IF($AT$106="stavební čast",1,IF(88106="investiční čast",2,3))</f>
        <v>1</v>
      </c>
      <c r="CK106" s="6">
        <f>IF($D$106="Vyplň vlastní","","x")</f>
      </c>
    </row>
    <row r="107" spans="2:89" s="6" customFormat="1" ht="21" customHeight="1">
      <c r="B107" s="21"/>
      <c r="D107" s="186" t="s">
        <v>113</v>
      </c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G107" s="184">
        <f>$AG$87*$AS$107</f>
        <v>0</v>
      </c>
      <c r="AH107" s="161"/>
      <c r="AI107" s="161"/>
      <c r="AJ107" s="161"/>
      <c r="AK107" s="161"/>
      <c r="AL107" s="161"/>
      <c r="AM107" s="161"/>
      <c r="AN107" s="185">
        <f>$AG$107+$AV$107</f>
        <v>0</v>
      </c>
      <c r="AO107" s="161"/>
      <c r="AP107" s="161"/>
      <c r="AQ107" s="22"/>
      <c r="AS107" s="83">
        <v>0</v>
      </c>
      <c r="AT107" s="84" t="s">
        <v>102</v>
      </c>
      <c r="AU107" s="84" t="s">
        <v>40</v>
      </c>
      <c r="AV107" s="85">
        <f>ROUNDUP(IF($AU$107="nulová",0,IF(OR($AU$107="základní",$AU$107="zákl. přenesená"),$AG$107*$L$28,$AG$107*$L$29)),1)</f>
        <v>0</v>
      </c>
      <c r="BV107" s="6" t="s">
        <v>114</v>
      </c>
      <c r="BY107" s="82">
        <f>IF($AU$107="základní",$AV$107,0)</f>
        <v>0</v>
      </c>
      <c r="BZ107" s="82">
        <f>IF($AU$107="snížená",$AV$107,0)</f>
        <v>0</v>
      </c>
      <c r="CA107" s="82">
        <f>IF($AU$107="zákl. přenesená",$AV$107,0)</f>
        <v>0</v>
      </c>
      <c r="CB107" s="82">
        <f>IF($AU$107="sníž. přenesená",$AV$107,0)</f>
        <v>0</v>
      </c>
      <c r="CC107" s="82">
        <f>IF($AU$107="nulová",$AV$107,0)</f>
        <v>0</v>
      </c>
      <c r="CD107" s="82">
        <f>IF($AU$107="základní",$AG$107,0)</f>
        <v>0</v>
      </c>
      <c r="CE107" s="82">
        <f>IF($AU$107="snížená",$AG$107,0)</f>
        <v>0</v>
      </c>
      <c r="CF107" s="82">
        <f>IF($AU$107="zákl. přenesená",$AG$107,0)</f>
        <v>0</v>
      </c>
      <c r="CG107" s="82">
        <f>IF($AU$107="sníž. přenesená",$AG$107,0)</f>
        <v>0</v>
      </c>
      <c r="CH107" s="82">
        <f>IF($AU$107="nulová",$AG$107,0)</f>
        <v>0</v>
      </c>
      <c r="CI107" s="6">
        <f>IF($AU$107="základní",1,IF($AU$107="snížená",2,IF($AU$107="zákl. přenesená",4,IF($AU$107="sníž. přenesená",5,3))))</f>
        <v>1</v>
      </c>
      <c r="CJ107" s="6">
        <f>IF($AT$107="stavební čast",1,IF(88107="investiční čast",2,3))</f>
        <v>1</v>
      </c>
      <c r="CK107" s="6">
        <f>IF($D$107="Vyplň vlastní","","x")</f>
      </c>
    </row>
    <row r="108" spans="2:89" s="6" customFormat="1" ht="21" customHeight="1">
      <c r="B108" s="21"/>
      <c r="D108" s="186" t="s">
        <v>113</v>
      </c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G108" s="184">
        <f>$AG$87*$AS$108</f>
        <v>0</v>
      </c>
      <c r="AH108" s="161"/>
      <c r="AI108" s="161"/>
      <c r="AJ108" s="161"/>
      <c r="AK108" s="161"/>
      <c r="AL108" s="161"/>
      <c r="AM108" s="161"/>
      <c r="AN108" s="185">
        <f>$AG$108+$AV$108</f>
        <v>0</v>
      </c>
      <c r="AO108" s="161"/>
      <c r="AP108" s="161"/>
      <c r="AQ108" s="22"/>
      <c r="AS108" s="86">
        <v>0</v>
      </c>
      <c r="AT108" s="87" t="s">
        <v>102</v>
      </c>
      <c r="AU108" s="87" t="s">
        <v>40</v>
      </c>
      <c r="AV108" s="88">
        <f>ROUNDUP(IF($AU$108="nulová",0,IF(OR($AU$108="základní",$AU$108="zákl. přenesená"),$AG$108*$L$28,$AG$108*$L$29)),1)</f>
        <v>0</v>
      </c>
      <c r="BV108" s="6" t="s">
        <v>114</v>
      </c>
      <c r="BY108" s="82">
        <f>IF($AU$108="základní",$AV$108,0)</f>
        <v>0</v>
      </c>
      <c r="BZ108" s="82">
        <f>IF($AU$108="snížená",$AV$108,0)</f>
        <v>0</v>
      </c>
      <c r="CA108" s="82">
        <f>IF($AU$108="zákl. přenesená",$AV$108,0)</f>
        <v>0</v>
      </c>
      <c r="CB108" s="82">
        <f>IF($AU$108="sníž. přenesená",$AV$108,0)</f>
        <v>0</v>
      </c>
      <c r="CC108" s="82">
        <f>IF($AU$108="nulová",$AV$108,0)</f>
        <v>0</v>
      </c>
      <c r="CD108" s="82">
        <f>IF($AU$108="základní",$AG$108,0)</f>
        <v>0</v>
      </c>
      <c r="CE108" s="82">
        <f>IF($AU$108="snížená",$AG$108,0)</f>
        <v>0</v>
      </c>
      <c r="CF108" s="82">
        <f>IF($AU$108="zákl. přenesená",$AG$108,0)</f>
        <v>0</v>
      </c>
      <c r="CG108" s="82">
        <f>IF($AU$108="sníž. přenesená",$AG$108,0)</f>
        <v>0</v>
      </c>
      <c r="CH108" s="82">
        <f>IF($AU$108="nulová",$AG$108,0)</f>
        <v>0</v>
      </c>
      <c r="CI108" s="6">
        <f>IF($AU$108="základní",1,IF($AU$108="snížená",2,IF($AU$108="zákl. přenesená",4,IF($AU$108="sníž. přenesená",5,3))))</f>
        <v>1</v>
      </c>
      <c r="CJ108" s="6">
        <f>IF($AT$108="stavební čast",1,IF(88108="investiční čast",2,3))</f>
        <v>1</v>
      </c>
      <c r="CK108" s="6">
        <f>IF($D$108="Vyplň vlastní","","x")</f>
      </c>
    </row>
    <row r="109" spans="2:43" s="6" customFormat="1" ht="12" customHeight="1">
      <c r="B109" s="21"/>
      <c r="AQ109" s="22"/>
    </row>
    <row r="110" spans="2:43" s="6" customFormat="1" ht="30.75" customHeight="1">
      <c r="B110" s="21"/>
      <c r="C110" s="89" t="s">
        <v>115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189">
        <f>ROUNDUP($AG$87+$AG$95,2)</f>
        <v>0</v>
      </c>
      <c r="AH110" s="190"/>
      <c r="AI110" s="190"/>
      <c r="AJ110" s="190"/>
      <c r="AK110" s="190"/>
      <c r="AL110" s="190"/>
      <c r="AM110" s="190"/>
      <c r="AN110" s="189">
        <f>ROUNDUP($AN$87+$AN$95,2)</f>
        <v>0</v>
      </c>
      <c r="AO110" s="190"/>
      <c r="AP110" s="190"/>
      <c r="AQ110" s="22"/>
    </row>
    <row r="111" spans="2:43" s="6" customFormat="1" ht="7.5" customHeight="1"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5"/>
    </row>
  </sheetData>
  <sheetProtection/>
  <mergeCells count="94">
    <mergeCell ref="AG110:AM110"/>
    <mergeCell ref="AN110:AP110"/>
    <mergeCell ref="AR2:BE2"/>
    <mergeCell ref="D108:AB108"/>
    <mergeCell ref="AG108:AM108"/>
    <mergeCell ref="AN108:AP108"/>
    <mergeCell ref="AG87:AM87"/>
    <mergeCell ref="AN87:AP87"/>
    <mergeCell ref="AG95:AM95"/>
    <mergeCell ref="AN95:AP95"/>
    <mergeCell ref="D106:AB106"/>
    <mergeCell ref="AG106:AM106"/>
    <mergeCell ref="AN106:AP106"/>
    <mergeCell ref="D107:AB107"/>
    <mergeCell ref="AG107:AM107"/>
    <mergeCell ref="AN107:AP107"/>
    <mergeCell ref="AG103:AM103"/>
    <mergeCell ref="AN103:AP103"/>
    <mergeCell ref="AG104:AM104"/>
    <mergeCell ref="AN104:AP104"/>
    <mergeCell ref="AG105:AM105"/>
    <mergeCell ref="AN105:AP105"/>
    <mergeCell ref="AG100:AM100"/>
    <mergeCell ref="AN100:AP100"/>
    <mergeCell ref="AG101:AM101"/>
    <mergeCell ref="AN101:AP101"/>
    <mergeCell ref="AG102:AM102"/>
    <mergeCell ref="AN102:AP102"/>
    <mergeCell ref="AG97:AM97"/>
    <mergeCell ref="AN97:AP97"/>
    <mergeCell ref="AG98:AM98"/>
    <mergeCell ref="AN98:AP98"/>
    <mergeCell ref="AG99:AM99"/>
    <mergeCell ref="AN99:AP99"/>
    <mergeCell ref="AN93:AP93"/>
    <mergeCell ref="AG93:AM93"/>
    <mergeCell ref="D93:H93"/>
    <mergeCell ref="J93:AF93"/>
    <mergeCell ref="AG96:AM96"/>
    <mergeCell ref="AN96:AP96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X34:AB34"/>
    <mergeCell ref="AK34:AO34"/>
    <mergeCell ref="C76:AP76"/>
    <mergeCell ref="L78:AO78"/>
    <mergeCell ref="AM82:AP82"/>
    <mergeCell ref="AS82:AT84"/>
    <mergeCell ref="AM83:AP83"/>
    <mergeCell ref="L31:O31"/>
    <mergeCell ref="W31:AE31"/>
    <mergeCell ref="AK31:AO31"/>
    <mergeCell ref="L32:O32"/>
    <mergeCell ref="W32:AE32"/>
    <mergeCell ref="AK32:AO32"/>
    <mergeCell ref="AK28:AO28"/>
    <mergeCell ref="L29:O29"/>
    <mergeCell ref="W29:AE29"/>
    <mergeCell ref="AK29:AO29"/>
    <mergeCell ref="L30:O30"/>
    <mergeCell ref="W30:AE30"/>
    <mergeCell ref="AK30:AO30"/>
    <mergeCell ref="C2:AP2"/>
    <mergeCell ref="C4:AP4"/>
    <mergeCell ref="BE5:BE34"/>
    <mergeCell ref="K6:AO6"/>
    <mergeCell ref="E14:AJ14"/>
    <mergeCell ref="AK23:AO23"/>
    <mergeCell ref="AK24:AO24"/>
    <mergeCell ref="AK26:AO26"/>
    <mergeCell ref="L28:O28"/>
    <mergeCell ref="W28:AE28"/>
  </mergeCells>
  <dataValidations count="2">
    <dataValidation type="list" allowBlank="1" showInputMessage="1" showErrorMessage="1" error="Povoleny jsou hodnoty základní, snížená, zákl. přenesená, sníž. přenesená, nulová." sqref="AU96:AU109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6:AT109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1327 a - Sklepní kóje čp....'!C2" tooltip="1327 a - Sklepní kóje čp...." display="/"/>
    <hyperlink ref="A89" location="'1327 b - Sklepní kóje čp....'!C2" tooltip="1327 b - Sklepní kóje čp...." display="/"/>
    <hyperlink ref="A90" location="'1327 c - Sklepní kóje čp....'!C2" tooltip="1327 c - Sklepní kóje čp...." display="/"/>
    <hyperlink ref="A91" location="'1327 d - Sklepní kóje čp....'!C2" tooltip="1327 d - Sklepní kóje čp...." display="/"/>
    <hyperlink ref="A92" location="'1327 f - Sklepní kóje čp....'!C2" tooltip="1327 f - Sklepní kóje čp...." display="/"/>
    <hyperlink ref="A93" location="'1327 e - Sklepní kóje čp....'!C2" tooltip="1327 e - Sklepní kóje čp.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29"/>
      <c r="B1" s="226"/>
      <c r="C1" s="226"/>
      <c r="D1" s="227" t="s">
        <v>1</v>
      </c>
      <c r="E1" s="226"/>
      <c r="F1" s="228" t="s">
        <v>431</v>
      </c>
      <c r="G1" s="228"/>
      <c r="H1" s="230" t="s">
        <v>432</v>
      </c>
      <c r="I1" s="230"/>
      <c r="J1" s="230"/>
      <c r="K1" s="230"/>
      <c r="L1" s="228" t="s">
        <v>433</v>
      </c>
      <c r="M1" s="226"/>
      <c r="N1" s="226"/>
      <c r="O1" s="227" t="s">
        <v>116</v>
      </c>
      <c r="P1" s="226"/>
      <c r="Q1" s="226"/>
      <c r="R1" s="226"/>
      <c r="S1" s="228" t="s">
        <v>434</v>
      </c>
      <c r="T1" s="228"/>
      <c r="U1" s="229"/>
      <c r="V1" s="22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7" t="s">
        <v>4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91" t="s">
        <v>5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17</v>
      </c>
    </row>
    <row r="4" spans="2:46" s="2" customFormat="1" ht="37.5" customHeight="1">
      <c r="B4" s="10"/>
      <c r="C4" s="159" t="s">
        <v>117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14</v>
      </c>
      <c r="F6" s="192" t="str">
        <f>'Rekapitulace stavby'!$K$6</f>
        <v>1327 - Stavební úpravy stávajícího objektu - rozdělení sklepních kójí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R6" s="11"/>
    </row>
    <row r="7" spans="2:18" s="6" customFormat="1" ht="18.75" customHeight="1">
      <c r="B7" s="21"/>
      <c r="D7" s="14" t="s">
        <v>118</v>
      </c>
      <c r="F7" s="163" t="s">
        <v>119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  <c r="R7" s="22"/>
    </row>
    <row r="8" spans="2:18" s="6" customFormat="1" ht="7.5" customHeight="1">
      <c r="B8" s="21"/>
      <c r="R8" s="22"/>
    </row>
    <row r="9" spans="2:18" s="6" customFormat="1" ht="15" customHeight="1">
      <c r="B9" s="21"/>
      <c r="D9" s="15" t="s">
        <v>18</v>
      </c>
      <c r="F9" s="16" t="s">
        <v>19</v>
      </c>
      <c r="M9" s="15" t="s">
        <v>20</v>
      </c>
      <c r="O9" s="193" t="str">
        <f>'Rekapitulace stavby'!$AN$8</f>
        <v>08.07.2013</v>
      </c>
      <c r="P9" s="161"/>
      <c r="R9" s="22"/>
    </row>
    <row r="10" spans="2:18" s="6" customFormat="1" ht="7.5" customHeight="1">
      <c r="B10" s="21"/>
      <c r="R10" s="22"/>
    </row>
    <row r="11" spans="2:18" s="6" customFormat="1" ht="15" customHeight="1">
      <c r="B11" s="21"/>
      <c r="D11" s="15" t="s">
        <v>24</v>
      </c>
      <c r="M11" s="15" t="s">
        <v>25</v>
      </c>
      <c r="O11" s="174"/>
      <c r="P11" s="161"/>
      <c r="R11" s="22"/>
    </row>
    <row r="12" spans="2:18" s="6" customFormat="1" ht="18.75" customHeight="1">
      <c r="B12" s="21"/>
      <c r="E12" s="16" t="s">
        <v>26</v>
      </c>
      <c r="M12" s="15" t="s">
        <v>27</v>
      </c>
      <c r="O12" s="174"/>
      <c r="P12" s="161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5" t="s">
        <v>28</v>
      </c>
      <c r="M14" s="15" t="s">
        <v>25</v>
      </c>
      <c r="O14" s="194" t="str">
        <f>IF('Rekapitulace stavby'!$AN$13="","",'Rekapitulace stavby'!$AN$13)</f>
        <v>Vyplň údaj</v>
      </c>
      <c r="P14" s="161"/>
      <c r="R14" s="22"/>
    </row>
    <row r="15" spans="2:18" s="6" customFormat="1" ht="18.75" customHeight="1">
      <c r="B15" s="21"/>
      <c r="E15" s="194" t="str">
        <f>IF('Rekapitulace stavby'!$E$14="","",'Rekapitulace stavby'!$E$14)</f>
        <v>Vyplň údaj</v>
      </c>
      <c r="F15" s="161"/>
      <c r="G15" s="161"/>
      <c r="H15" s="161"/>
      <c r="I15" s="161"/>
      <c r="J15" s="161"/>
      <c r="K15" s="161"/>
      <c r="L15" s="161"/>
      <c r="M15" s="15" t="s">
        <v>27</v>
      </c>
      <c r="O15" s="194" t="str">
        <f>IF('Rekapitulace stavby'!$AN$14="","",'Rekapitulace stavby'!$AN$14)</f>
        <v>Vyplň údaj</v>
      </c>
      <c r="P15" s="161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5" t="s">
        <v>30</v>
      </c>
      <c r="M17" s="15" t="s">
        <v>25</v>
      </c>
      <c r="O17" s="174"/>
      <c r="P17" s="161"/>
      <c r="R17" s="22"/>
    </row>
    <row r="18" spans="2:18" s="6" customFormat="1" ht="18.75" customHeight="1">
      <c r="B18" s="21"/>
      <c r="E18" s="16" t="s">
        <v>31</v>
      </c>
      <c r="M18" s="15" t="s">
        <v>27</v>
      </c>
      <c r="O18" s="174"/>
      <c r="P18" s="161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5" t="s">
        <v>33</v>
      </c>
      <c r="M20" s="15" t="s">
        <v>25</v>
      </c>
      <c r="O20" s="174" t="s">
        <v>34</v>
      </c>
      <c r="P20" s="161"/>
      <c r="R20" s="22"/>
    </row>
    <row r="21" spans="2:18" s="6" customFormat="1" ht="18.75" customHeight="1">
      <c r="B21" s="21"/>
      <c r="E21" s="16" t="s">
        <v>31</v>
      </c>
      <c r="M21" s="15" t="s">
        <v>27</v>
      </c>
      <c r="O21" s="174" t="s">
        <v>35</v>
      </c>
      <c r="P21" s="161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R23" s="22"/>
    </row>
    <row r="24" spans="2:18" s="6" customFormat="1" ht="15" customHeight="1">
      <c r="B24" s="21"/>
      <c r="D24" s="90" t="s">
        <v>120</v>
      </c>
      <c r="M24" s="165">
        <f>$N$88</f>
        <v>0</v>
      </c>
      <c r="N24" s="161"/>
      <c r="O24" s="161"/>
      <c r="P24" s="161"/>
      <c r="R24" s="22"/>
    </row>
    <row r="25" spans="2:18" s="6" customFormat="1" ht="15" customHeight="1">
      <c r="B25" s="21"/>
      <c r="D25" s="20" t="s">
        <v>108</v>
      </c>
      <c r="M25" s="165">
        <f>$N$102</f>
        <v>0</v>
      </c>
      <c r="N25" s="161"/>
      <c r="O25" s="161"/>
      <c r="P25" s="161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91" t="s">
        <v>38</v>
      </c>
      <c r="M27" s="195">
        <f>ROUNDUP($M$24+$M$25,2)</f>
        <v>0</v>
      </c>
      <c r="N27" s="161"/>
      <c r="O27" s="161"/>
      <c r="P27" s="161"/>
      <c r="R27" s="22"/>
    </row>
    <row r="28" spans="2:18" s="6" customFormat="1" ht="7.5" customHeight="1">
      <c r="B28" s="2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R28" s="22"/>
    </row>
    <row r="29" spans="2:18" s="6" customFormat="1" ht="15" customHeight="1">
      <c r="B29" s="21"/>
      <c r="D29" s="26" t="s">
        <v>39</v>
      </c>
      <c r="E29" s="26" t="s">
        <v>40</v>
      </c>
      <c r="F29" s="27">
        <v>0.21</v>
      </c>
      <c r="G29" s="92" t="s">
        <v>41</v>
      </c>
      <c r="H29" s="196">
        <f>ROUNDUP((((SUM($BE$102:$BE$109)+SUM($BE$127:$BE$198))+SUM($BE$200:$BE$204))),2)</f>
        <v>0</v>
      </c>
      <c r="I29" s="161"/>
      <c r="J29" s="161"/>
      <c r="M29" s="196">
        <f>ROUNDUP((((SUM($BE$102:$BE$109)+SUM($BE$127:$BE$198))*$F$29)+SUM($BE$200:$BE$204)*$F$29),1)</f>
        <v>0</v>
      </c>
      <c r="N29" s="161"/>
      <c r="O29" s="161"/>
      <c r="P29" s="161"/>
      <c r="R29" s="22"/>
    </row>
    <row r="30" spans="2:18" s="6" customFormat="1" ht="15" customHeight="1">
      <c r="B30" s="21"/>
      <c r="E30" s="26" t="s">
        <v>42</v>
      </c>
      <c r="F30" s="27">
        <v>0.15</v>
      </c>
      <c r="G30" s="92" t="s">
        <v>41</v>
      </c>
      <c r="H30" s="196">
        <f>ROUNDUP((((SUM($BF$102:$BF$109)+SUM($BF$127:$BF$198))+SUM($BF$200:$BF$204))),2)</f>
        <v>0</v>
      </c>
      <c r="I30" s="161"/>
      <c r="J30" s="161"/>
      <c r="M30" s="196">
        <f>ROUNDUP((((SUM($BF$102:$BF$109)+SUM($BF$127:$BF$198))*$F$30)+SUM($BF$200:$BF$204)*$F$30),1)</f>
        <v>0</v>
      </c>
      <c r="N30" s="161"/>
      <c r="O30" s="161"/>
      <c r="P30" s="161"/>
      <c r="R30" s="22"/>
    </row>
    <row r="31" spans="2:18" s="6" customFormat="1" ht="15" customHeight="1" hidden="1">
      <c r="B31" s="21"/>
      <c r="E31" s="26" t="s">
        <v>43</v>
      </c>
      <c r="F31" s="27">
        <v>0.21</v>
      </c>
      <c r="G31" s="92" t="s">
        <v>41</v>
      </c>
      <c r="H31" s="196">
        <f>ROUNDUP((((SUM($BG$102:$BG$109)+SUM($BG$127:$BG$198))+SUM($BG$200:$BG$204))),2)</f>
        <v>0</v>
      </c>
      <c r="I31" s="161"/>
      <c r="J31" s="161"/>
      <c r="M31" s="196">
        <v>0</v>
      </c>
      <c r="N31" s="161"/>
      <c r="O31" s="161"/>
      <c r="P31" s="161"/>
      <c r="R31" s="22"/>
    </row>
    <row r="32" spans="2:18" s="6" customFormat="1" ht="15" customHeight="1" hidden="1">
      <c r="B32" s="21"/>
      <c r="E32" s="26" t="s">
        <v>44</v>
      </c>
      <c r="F32" s="27">
        <v>0.15</v>
      </c>
      <c r="G32" s="92" t="s">
        <v>41</v>
      </c>
      <c r="H32" s="196">
        <f>ROUNDUP((((SUM($BH$102:$BH$109)+SUM($BH$127:$BH$198))+SUM($BH$200:$BH$204))),2)</f>
        <v>0</v>
      </c>
      <c r="I32" s="161"/>
      <c r="J32" s="161"/>
      <c r="M32" s="196">
        <v>0</v>
      </c>
      <c r="N32" s="161"/>
      <c r="O32" s="161"/>
      <c r="P32" s="161"/>
      <c r="R32" s="22"/>
    </row>
    <row r="33" spans="2:18" s="6" customFormat="1" ht="15" customHeight="1" hidden="1">
      <c r="B33" s="21"/>
      <c r="E33" s="26" t="s">
        <v>45</v>
      </c>
      <c r="F33" s="27">
        <v>0</v>
      </c>
      <c r="G33" s="92" t="s">
        <v>41</v>
      </c>
      <c r="H33" s="196">
        <f>ROUNDUP((((SUM($BI$102:$BI$109)+SUM($BI$127:$BI$198))+SUM($BI$200:$BI$204))),2)</f>
        <v>0</v>
      </c>
      <c r="I33" s="161"/>
      <c r="J33" s="161"/>
      <c r="M33" s="196">
        <v>0</v>
      </c>
      <c r="N33" s="161"/>
      <c r="O33" s="161"/>
      <c r="P33" s="161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30"/>
      <c r="D35" s="31" t="s">
        <v>46</v>
      </c>
      <c r="E35" s="32"/>
      <c r="F35" s="32"/>
      <c r="G35" s="93" t="s">
        <v>47</v>
      </c>
      <c r="H35" s="33" t="s">
        <v>48</v>
      </c>
      <c r="I35" s="32"/>
      <c r="J35" s="32"/>
      <c r="K35" s="32"/>
      <c r="L35" s="172">
        <f>ROUNDUP(SUM($M$27:$M$33),2)</f>
        <v>0</v>
      </c>
      <c r="M35" s="171"/>
      <c r="N35" s="171"/>
      <c r="O35" s="171"/>
      <c r="P35" s="173"/>
      <c r="Q35" s="30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4" t="s">
        <v>49</v>
      </c>
      <c r="E50" s="35"/>
      <c r="F50" s="35"/>
      <c r="G50" s="35"/>
      <c r="H50" s="36"/>
      <c r="J50" s="34" t="s">
        <v>50</v>
      </c>
      <c r="K50" s="35"/>
      <c r="L50" s="35"/>
      <c r="M50" s="35"/>
      <c r="N50" s="35"/>
      <c r="O50" s="35"/>
      <c r="P50" s="36"/>
      <c r="R50" s="22"/>
    </row>
    <row r="51" spans="2:18" s="2" customFormat="1" ht="14.25" customHeight="1">
      <c r="B51" s="10"/>
      <c r="D51" s="37"/>
      <c r="H51" s="38"/>
      <c r="J51" s="37"/>
      <c r="P51" s="38"/>
      <c r="R51" s="11"/>
    </row>
    <row r="52" spans="2:18" s="2" customFormat="1" ht="14.25" customHeight="1">
      <c r="B52" s="10"/>
      <c r="D52" s="37"/>
      <c r="H52" s="38"/>
      <c r="J52" s="37"/>
      <c r="P52" s="38"/>
      <c r="R52" s="11"/>
    </row>
    <row r="53" spans="2:18" s="2" customFormat="1" ht="14.25" customHeight="1">
      <c r="B53" s="10"/>
      <c r="D53" s="37"/>
      <c r="H53" s="38"/>
      <c r="J53" s="37"/>
      <c r="P53" s="38"/>
      <c r="R53" s="11"/>
    </row>
    <row r="54" spans="2:18" s="2" customFormat="1" ht="14.25" customHeight="1">
      <c r="B54" s="10"/>
      <c r="D54" s="37"/>
      <c r="H54" s="38"/>
      <c r="J54" s="37"/>
      <c r="P54" s="38"/>
      <c r="R54" s="11"/>
    </row>
    <row r="55" spans="2:18" s="2" customFormat="1" ht="14.25" customHeight="1">
      <c r="B55" s="10"/>
      <c r="D55" s="37"/>
      <c r="H55" s="38"/>
      <c r="J55" s="37"/>
      <c r="P55" s="38"/>
      <c r="R55" s="11"/>
    </row>
    <row r="56" spans="2:18" s="2" customFormat="1" ht="14.25" customHeight="1">
      <c r="B56" s="10"/>
      <c r="D56" s="37"/>
      <c r="H56" s="38"/>
      <c r="J56" s="37"/>
      <c r="P56" s="38"/>
      <c r="R56" s="11"/>
    </row>
    <row r="57" spans="2:18" s="2" customFormat="1" ht="14.25" customHeight="1">
      <c r="B57" s="10"/>
      <c r="D57" s="37"/>
      <c r="H57" s="38"/>
      <c r="J57" s="37"/>
      <c r="P57" s="38"/>
      <c r="R57" s="11"/>
    </row>
    <row r="58" spans="2:18" s="2" customFormat="1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1"/>
      <c r="D59" s="39" t="s">
        <v>51</v>
      </c>
      <c r="E59" s="40"/>
      <c r="F59" s="40"/>
      <c r="G59" s="41" t="s">
        <v>52</v>
      </c>
      <c r="H59" s="42"/>
      <c r="J59" s="39" t="s">
        <v>51</v>
      </c>
      <c r="K59" s="40"/>
      <c r="L59" s="40"/>
      <c r="M59" s="40"/>
      <c r="N59" s="41" t="s">
        <v>52</v>
      </c>
      <c r="O59" s="40"/>
      <c r="P59" s="42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4" t="s">
        <v>53</v>
      </c>
      <c r="E61" s="35"/>
      <c r="F61" s="35"/>
      <c r="G61" s="35"/>
      <c r="H61" s="36"/>
      <c r="J61" s="34" t="s">
        <v>54</v>
      </c>
      <c r="K61" s="35"/>
      <c r="L61" s="35"/>
      <c r="M61" s="35"/>
      <c r="N61" s="35"/>
      <c r="O61" s="35"/>
      <c r="P61" s="36"/>
      <c r="R61" s="22"/>
    </row>
    <row r="62" spans="2:18" s="2" customFormat="1" ht="14.25" customHeight="1">
      <c r="B62" s="10"/>
      <c r="D62" s="37"/>
      <c r="H62" s="38"/>
      <c r="J62" s="37"/>
      <c r="P62" s="38"/>
      <c r="R62" s="11"/>
    </row>
    <row r="63" spans="2:18" s="2" customFormat="1" ht="14.25" customHeight="1">
      <c r="B63" s="10"/>
      <c r="D63" s="37"/>
      <c r="H63" s="38"/>
      <c r="J63" s="37"/>
      <c r="P63" s="38"/>
      <c r="R63" s="11"/>
    </row>
    <row r="64" spans="2:18" s="2" customFormat="1" ht="14.25" customHeight="1">
      <c r="B64" s="10"/>
      <c r="D64" s="37"/>
      <c r="H64" s="38"/>
      <c r="J64" s="37"/>
      <c r="P64" s="38"/>
      <c r="R64" s="11"/>
    </row>
    <row r="65" spans="2:18" s="2" customFormat="1" ht="14.25" customHeight="1">
      <c r="B65" s="10"/>
      <c r="D65" s="37"/>
      <c r="H65" s="38"/>
      <c r="J65" s="37"/>
      <c r="P65" s="38"/>
      <c r="R65" s="11"/>
    </row>
    <row r="66" spans="2:18" s="2" customFormat="1" ht="14.25" customHeight="1">
      <c r="B66" s="10"/>
      <c r="D66" s="37"/>
      <c r="H66" s="38"/>
      <c r="J66" s="37"/>
      <c r="P66" s="38"/>
      <c r="R66" s="11"/>
    </row>
    <row r="67" spans="2:18" s="2" customFormat="1" ht="14.25" customHeight="1">
      <c r="B67" s="10"/>
      <c r="D67" s="37"/>
      <c r="H67" s="38"/>
      <c r="J67" s="37"/>
      <c r="P67" s="38"/>
      <c r="R67" s="11"/>
    </row>
    <row r="68" spans="2:18" s="2" customFormat="1" ht="14.25" customHeight="1">
      <c r="B68" s="10"/>
      <c r="D68" s="37"/>
      <c r="H68" s="38"/>
      <c r="J68" s="37"/>
      <c r="P68" s="38"/>
      <c r="R68" s="11"/>
    </row>
    <row r="69" spans="2:18" s="2" customFormat="1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1"/>
      <c r="D70" s="39" t="s">
        <v>51</v>
      </c>
      <c r="E70" s="40"/>
      <c r="F70" s="40"/>
      <c r="G70" s="41" t="s">
        <v>52</v>
      </c>
      <c r="H70" s="42"/>
      <c r="J70" s="39" t="s">
        <v>51</v>
      </c>
      <c r="K70" s="40"/>
      <c r="L70" s="40"/>
      <c r="M70" s="40"/>
      <c r="N70" s="41" t="s">
        <v>52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59" t="s">
        <v>121</v>
      </c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22"/>
    </row>
    <row r="77" spans="2:18" s="6" customFormat="1" ht="7.5" customHeight="1">
      <c r="B77" s="21"/>
      <c r="R77" s="22"/>
    </row>
    <row r="78" spans="2:18" s="6" customFormat="1" ht="15" customHeight="1">
      <c r="B78" s="21"/>
      <c r="C78" s="15" t="s">
        <v>14</v>
      </c>
      <c r="F78" s="192" t="str">
        <f>$F$6</f>
        <v>1327 - Stavební úpravy stávajícího objektu - rozdělení sklepních kójí</v>
      </c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R78" s="22"/>
    </row>
    <row r="79" spans="2:18" s="6" customFormat="1" ht="15" customHeight="1">
      <c r="B79" s="21"/>
      <c r="C79" s="14" t="s">
        <v>118</v>
      </c>
      <c r="F79" s="163" t="str">
        <f>$F$7</f>
        <v>1327 a - Sklepní kóje čp. 641</v>
      </c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5" t="s">
        <v>18</v>
      </c>
      <c r="F81" s="16" t="str">
        <f>$F$9</f>
        <v>Kolín II, Benešova čp. 636 - 641</v>
      </c>
      <c r="K81" s="15" t="s">
        <v>20</v>
      </c>
      <c r="M81" s="197" t="str">
        <f>IF($O$9="","",$O$9)</f>
        <v>08.07.2013</v>
      </c>
      <c r="N81" s="161"/>
      <c r="O81" s="161"/>
      <c r="P81" s="161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5" t="s">
        <v>24</v>
      </c>
      <c r="F83" s="16" t="str">
        <f>$E$12</f>
        <v>Město Kolín, Karlovo náměstí 78, 280 02 Kolín 1</v>
      </c>
      <c r="K83" s="15" t="s">
        <v>30</v>
      </c>
      <c r="M83" s="174" t="str">
        <f>$E$18</f>
        <v>Ing. Karel Vrátný, Rubešova 60, 280 02 Kolín</v>
      </c>
      <c r="N83" s="161"/>
      <c r="O83" s="161"/>
      <c r="P83" s="161"/>
      <c r="Q83" s="161"/>
      <c r="R83" s="22"/>
    </row>
    <row r="84" spans="2:18" s="6" customFormat="1" ht="15" customHeight="1">
      <c r="B84" s="21"/>
      <c r="C84" s="15" t="s">
        <v>28</v>
      </c>
      <c r="F84" s="16" t="str">
        <f>IF($E$15="","",$E$15)</f>
        <v>Vyplň údaj</v>
      </c>
      <c r="K84" s="15" t="s">
        <v>33</v>
      </c>
      <c r="M84" s="174" t="str">
        <f>$E$21</f>
        <v>Ing. Karel Vrátný, Rubešova 60, 280 02 Kolín</v>
      </c>
      <c r="N84" s="161"/>
      <c r="O84" s="161"/>
      <c r="P84" s="161"/>
      <c r="Q84" s="161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198" t="s">
        <v>122</v>
      </c>
      <c r="D86" s="190"/>
      <c r="E86" s="190"/>
      <c r="F86" s="190"/>
      <c r="G86" s="190"/>
      <c r="H86" s="30"/>
      <c r="I86" s="30"/>
      <c r="J86" s="30"/>
      <c r="K86" s="30"/>
      <c r="L86" s="30"/>
      <c r="M86" s="30"/>
      <c r="N86" s="198" t="s">
        <v>123</v>
      </c>
      <c r="O86" s="161"/>
      <c r="P86" s="161"/>
      <c r="Q86" s="161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0" t="s">
        <v>124</v>
      </c>
      <c r="N88" s="187">
        <f>ROUNDUP($N$127,2)</f>
        <v>0</v>
      </c>
      <c r="O88" s="161"/>
      <c r="P88" s="161"/>
      <c r="Q88" s="161"/>
      <c r="R88" s="22"/>
      <c r="AU88" s="6" t="s">
        <v>125</v>
      </c>
    </row>
    <row r="89" spans="2:18" s="65" customFormat="1" ht="25.5" customHeight="1">
      <c r="B89" s="94"/>
      <c r="D89" s="95" t="s">
        <v>126</v>
      </c>
      <c r="N89" s="199">
        <f>ROUNDUP($N$128,2)</f>
        <v>0</v>
      </c>
      <c r="O89" s="200"/>
      <c r="P89" s="200"/>
      <c r="Q89" s="200"/>
      <c r="R89" s="96"/>
    </row>
    <row r="90" spans="2:18" s="90" customFormat="1" ht="21" customHeight="1">
      <c r="B90" s="97"/>
      <c r="D90" s="78" t="s">
        <v>127</v>
      </c>
      <c r="N90" s="185">
        <f>ROUNDUP($N$129,2)</f>
        <v>0</v>
      </c>
      <c r="O90" s="200"/>
      <c r="P90" s="200"/>
      <c r="Q90" s="200"/>
      <c r="R90" s="98"/>
    </row>
    <row r="91" spans="2:18" s="90" customFormat="1" ht="21" customHeight="1">
      <c r="B91" s="97"/>
      <c r="D91" s="78" t="s">
        <v>128</v>
      </c>
      <c r="N91" s="185">
        <f>ROUNDUP($N$135,2)</f>
        <v>0</v>
      </c>
      <c r="O91" s="200"/>
      <c r="P91" s="200"/>
      <c r="Q91" s="200"/>
      <c r="R91" s="98"/>
    </row>
    <row r="92" spans="2:18" s="90" customFormat="1" ht="21" customHeight="1">
      <c r="B92" s="97"/>
      <c r="D92" s="78" t="s">
        <v>129</v>
      </c>
      <c r="N92" s="185">
        <f>ROUNDUP($N$144,2)</f>
        <v>0</v>
      </c>
      <c r="O92" s="200"/>
      <c r="P92" s="200"/>
      <c r="Q92" s="200"/>
      <c r="R92" s="98"/>
    </row>
    <row r="93" spans="2:18" s="90" customFormat="1" ht="15.75" customHeight="1">
      <c r="B93" s="97"/>
      <c r="D93" s="78" t="s">
        <v>130</v>
      </c>
      <c r="N93" s="185">
        <f>ROUNDUP($N$152,2)</f>
        <v>0</v>
      </c>
      <c r="O93" s="200"/>
      <c r="P93" s="200"/>
      <c r="Q93" s="200"/>
      <c r="R93" s="98"/>
    </row>
    <row r="94" spans="2:18" s="65" customFormat="1" ht="25.5" customHeight="1">
      <c r="B94" s="94"/>
      <c r="D94" s="95" t="s">
        <v>131</v>
      </c>
      <c r="N94" s="199">
        <f>ROUNDUP($N$159,2)</f>
        <v>0</v>
      </c>
      <c r="O94" s="200"/>
      <c r="P94" s="200"/>
      <c r="Q94" s="200"/>
      <c r="R94" s="96"/>
    </row>
    <row r="95" spans="2:18" s="90" customFormat="1" ht="21" customHeight="1">
      <c r="B95" s="97"/>
      <c r="D95" s="78" t="s">
        <v>132</v>
      </c>
      <c r="N95" s="185">
        <f>ROUNDUP($N$160,2)</f>
        <v>0</v>
      </c>
      <c r="O95" s="200"/>
      <c r="P95" s="200"/>
      <c r="Q95" s="200"/>
      <c r="R95" s="98"/>
    </row>
    <row r="96" spans="2:18" s="90" customFormat="1" ht="21" customHeight="1">
      <c r="B96" s="97"/>
      <c r="D96" s="78" t="s">
        <v>133</v>
      </c>
      <c r="N96" s="185">
        <f>ROUNDUP($N$165,2)</f>
        <v>0</v>
      </c>
      <c r="O96" s="200"/>
      <c r="P96" s="200"/>
      <c r="Q96" s="200"/>
      <c r="R96" s="98"/>
    </row>
    <row r="97" spans="2:18" s="90" customFormat="1" ht="21" customHeight="1">
      <c r="B97" s="97"/>
      <c r="D97" s="78" t="s">
        <v>134</v>
      </c>
      <c r="N97" s="185">
        <f>ROUNDUP($N$171,2)</f>
        <v>0</v>
      </c>
      <c r="O97" s="200"/>
      <c r="P97" s="200"/>
      <c r="Q97" s="200"/>
      <c r="R97" s="98"/>
    </row>
    <row r="98" spans="2:18" s="90" customFormat="1" ht="21" customHeight="1">
      <c r="B98" s="97"/>
      <c r="D98" s="78" t="s">
        <v>135</v>
      </c>
      <c r="N98" s="185">
        <f>ROUNDUP($N$178,2)</f>
        <v>0</v>
      </c>
      <c r="O98" s="200"/>
      <c r="P98" s="200"/>
      <c r="Q98" s="200"/>
      <c r="R98" s="98"/>
    </row>
    <row r="99" spans="2:18" s="90" customFormat="1" ht="21" customHeight="1">
      <c r="B99" s="97"/>
      <c r="D99" s="78" t="s">
        <v>136</v>
      </c>
      <c r="N99" s="185">
        <f>ROUNDUP($N$187,2)</f>
        <v>0</v>
      </c>
      <c r="O99" s="200"/>
      <c r="P99" s="200"/>
      <c r="Q99" s="200"/>
      <c r="R99" s="98"/>
    </row>
    <row r="100" spans="2:18" s="65" customFormat="1" ht="22.5" customHeight="1">
      <c r="B100" s="94"/>
      <c r="D100" s="95" t="s">
        <v>137</v>
      </c>
      <c r="N100" s="201">
        <f>$N$199</f>
        <v>0</v>
      </c>
      <c r="O100" s="200"/>
      <c r="P100" s="200"/>
      <c r="Q100" s="200"/>
      <c r="R100" s="96"/>
    </row>
    <row r="101" spans="2:18" s="6" customFormat="1" ht="22.5" customHeight="1">
      <c r="B101" s="21"/>
      <c r="R101" s="22"/>
    </row>
    <row r="102" spans="2:21" s="6" customFormat="1" ht="30" customHeight="1">
      <c r="B102" s="21"/>
      <c r="C102" s="60" t="s">
        <v>138</v>
      </c>
      <c r="N102" s="187">
        <f>ROUNDUP($N$103+$N$104+$N$105+$N$106+$N$107+$N$108,2)</f>
        <v>0</v>
      </c>
      <c r="O102" s="161"/>
      <c r="P102" s="161"/>
      <c r="Q102" s="161"/>
      <c r="R102" s="22"/>
      <c r="T102" s="99"/>
      <c r="U102" s="100" t="s">
        <v>39</v>
      </c>
    </row>
    <row r="103" spans="2:62" s="6" customFormat="1" ht="18.75" customHeight="1">
      <c r="B103" s="21"/>
      <c r="D103" s="186" t="s">
        <v>139</v>
      </c>
      <c r="E103" s="161"/>
      <c r="F103" s="161"/>
      <c r="G103" s="161"/>
      <c r="H103" s="161"/>
      <c r="N103" s="184">
        <f>ROUNDUP($N$88*$T$103,2)</f>
        <v>0</v>
      </c>
      <c r="O103" s="161"/>
      <c r="P103" s="161"/>
      <c r="Q103" s="161"/>
      <c r="R103" s="22"/>
      <c r="T103" s="101"/>
      <c r="U103" s="102" t="s">
        <v>42</v>
      </c>
      <c r="AY103" s="6" t="s">
        <v>140</v>
      </c>
      <c r="BE103" s="82">
        <f>IF($U$103="základní",$N$103,0)</f>
        <v>0</v>
      </c>
      <c r="BF103" s="82">
        <f>IF($U$103="snížená",$N$103,0)</f>
        <v>0</v>
      </c>
      <c r="BG103" s="82">
        <f>IF($U$103="zákl. přenesená",$N$103,0)</f>
        <v>0</v>
      </c>
      <c r="BH103" s="82">
        <f>IF($U$103="sníž. přenesená",$N$103,0)</f>
        <v>0</v>
      </c>
      <c r="BI103" s="82">
        <f>IF($U$103="nulová",$N$103,0)</f>
        <v>0</v>
      </c>
      <c r="BJ103" s="6" t="s">
        <v>141</v>
      </c>
    </row>
    <row r="104" spans="2:62" s="6" customFormat="1" ht="18.75" customHeight="1">
      <c r="B104" s="21"/>
      <c r="D104" s="186" t="s">
        <v>142</v>
      </c>
      <c r="E104" s="161"/>
      <c r="F104" s="161"/>
      <c r="G104" s="161"/>
      <c r="H104" s="161"/>
      <c r="N104" s="184">
        <f>ROUNDUP($N$88*$T$104,2)</f>
        <v>0</v>
      </c>
      <c r="O104" s="161"/>
      <c r="P104" s="161"/>
      <c r="Q104" s="161"/>
      <c r="R104" s="22"/>
      <c r="T104" s="101"/>
      <c r="U104" s="102" t="s">
        <v>42</v>
      </c>
      <c r="AY104" s="6" t="s">
        <v>140</v>
      </c>
      <c r="BE104" s="82">
        <f>IF($U$104="základní",$N$104,0)</f>
        <v>0</v>
      </c>
      <c r="BF104" s="82">
        <f>IF($U$104="snížená",$N$104,0)</f>
        <v>0</v>
      </c>
      <c r="BG104" s="82">
        <f>IF($U$104="zákl. přenesená",$N$104,0)</f>
        <v>0</v>
      </c>
      <c r="BH104" s="82">
        <f>IF($U$104="sníž. přenesená",$N$104,0)</f>
        <v>0</v>
      </c>
      <c r="BI104" s="82">
        <f>IF($U$104="nulová",$N$104,0)</f>
        <v>0</v>
      </c>
      <c r="BJ104" s="6" t="s">
        <v>141</v>
      </c>
    </row>
    <row r="105" spans="2:62" s="6" customFormat="1" ht="18.75" customHeight="1">
      <c r="B105" s="21"/>
      <c r="D105" s="186" t="s">
        <v>143</v>
      </c>
      <c r="E105" s="161"/>
      <c r="F105" s="161"/>
      <c r="G105" s="161"/>
      <c r="H105" s="161"/>
      <c r="N105" s="184">
        <f>ROUNDUP($N$88*$T$105,2)</f>
        <v>0</v>
      </c>
      <c r="O105" s="161"/>
      <c r="P105" s="161"/>
      <c r="Q105" s="161"/>
      <c r="R105" s="22"/>
      <c r="T105" s="101"/>
      <c r="U105" s="102" t="s">
        <v>42</v>
      </c>
      <c r="AY105" s="6" t="s">
        <v>140</v>
      </c>
      <c r="BE105" s="82">
        <f>IF($U$105="základní",$N$105,0)</f>
        <v>0</v>
      </c>
      <c r="BF105" s="82">
        <f>IF($U$105="snížená",$N$105,0)</f>
        <v>0</v>
      </c>
      <c r="BG105" s="82">
        <f>IF($U$105="zákl. přenesená",$N$105,0)</f>
        <v>0</v>
      </c>
      <c r="BH105" s="82">
        <f>IF($U$105="sníž. přenesená",$N$105,0)</f>
        <v>0</v>
      </c>
      <c r="BI105" s="82">
        <f>IF($U$105="nulová",$N$105,0)</f>
        <v>0</v>
      </c>
      <c r="BJ105" s="6" t="s">
        <v>141</v>
      </c>
    </row>
    <row r="106" spans="2:62" s="6" customFormat="1" ht="18.75" customHeight="1">
      <c r="B106" s="21"/>
      <c r="D106" s="186" t="s">
        <v>144</v>
      </c>
      <c r="E106" s="161"/>
      <c r="F106" s="161"/>
      <c r="G106" s="161"/>
      <c r="H106" s="161"/>
      <c r="N106" s="184">
        <f>ROUNDUP($N$88*$T$106,2)</f>
        <v>0</v>
      </c>
      <c r="O106" s="161"/>
      <c r="P106" s="161"/>
      <c r="Q106" s="161"/>
      <c r="R106" s="22"/>
      <c r="T106" s="101"/>
      <c r="U106" s="102" t="s">
        <v>42</v>
      </c>
      <c r="AY106" s="6" t="s">
        <v>140</v>
      </c>
      <c r="BE106" s="82">
        <f>IF($U$106="základní",$N$106,0)</f>
        <v>0</v>
      </c>
      <c r="BF106" s="82">
        <f>IF($U$106="snížená",$N$106,0)</f>
        <v>0</v>
      </c>
      <c r="BG106" s="82">
        <f>IF($U$106="zákl. přenesená",$N$106,0)</f>
        <v>0</v>
      </c>
      <c r="BH106" s="82">
        <f>IF($U$106="sníž. přenesená",$N$106,0)</f>
        <v>0</v>
      </c>
      <c r="BI106" s="82">
        <f>IF($U$106="nulová",$N$106,0)</f>
        <v>0</v>
      </c>
      <c r="BJ106" s="6" t="s">
        <v>141</v>
      </c>
    </row>
    <row r="107" spans="2:62" s="6" customFormat="1" ht="18.75" customHeight="1">
      <c r="B107" s="21"/>
      <c r="D107" s="186" t="s">
        <v>145</v>
      </c>
      <c r="E107" s="161"/>
      <c r="F107" s="161"/>
      <c r="G107" s="161"/>
      <c r="H107" s="161"/>
      <c r="N107" s="184">
        <f>ROUNDUP($N$88*$T$107,2)</f>
        <v>0</v>
      </c>
      <c r="O107" s="161"/>
      <c r="P107" s="161"/>
      <c r="Q107" s="161"/>
      <c r="R107" s="22"/>
      <c r="T107" s="101"/>
      <c r="U107" s="102" t="s">
        <v>42</v>
      </c>
      <c r="AY107" s="6" t="s">
        <v>140</v>
      </c>
      <c r="BE107" s="82">
        <f>IF($U$107="základní",$N$107,0)</f>
        <v>0</v>
      </c>
      <c r="BF107" s="82">
        <f>IF($U$107="snížená",$N$107,0)</f>
        <v>0</v>
      </c>
      <c r="BG107" s="82">
        <f>IF($U$107="zákl. přenesená",$N$107,0)</f>
        <v>0</v>
      </c>
      <c r="BH107" s="82">
        <f>IF($U$107="sníž. přenesená",$N$107,0)</f>
        <v>0</v>
      </c>
      <c r="BI107" s="82">
        <f>IF($U$107="nulová",$N$107,0)</f>
        <v>0</v>
      </c>
      <c r="BJ107" s="6" t="s">
        <v>141</v>
      </c>
    </row>
    <row r="108" spans="2:62" s="6" customFormat="1" ht="18.75" customHeight="1">
      <c r="B108" s="21"/>
      <c r="D108" s="78" t="s">
        <v>146</v>
      </c>
      <c r="N108" s="184">
        <f>ROUNDUP($N$88*$T$108,2)</f>
        <v>0</v>
      </c>
      <c r="O108" s="161"/>
      <c r="P108" s="161"/>
      <c r="Q108" s="161"/>
      <c r="R108" s="22"/>
      <c r="T108" s="103"/>
      <c r="U108" s="104" t="s">
        <v>42</v>
      </c>
      <c r="AY108" s="6" t="s">
        <v>147</v>
      </c>
      <c r="BE108" s="82">
        <f>IF($U$108="základní",$N$108,0)</f>
        <v>0</v>
      </c>
      <c r="BF108" s="82">
        <f>IF($U$108="snížená",$N$108,0)</f>
        <v>0</v>
      </c>
      <c r="BG108" s="82">
        <f>IF($U$108="zákl. přenesená",$N$108,0)</f>
        <v>0</v>
      </c>
      <c r="BH108" s="82">
        <f>IF($U$108="sníž. přenesená",$N$108,0)</f>
        <v>0</v>
      </c>
      <c r="BI108" s="82">
        <f>IF($U$108="nulová",$N$108,0)</f>
        <v>0</v>
      </c>
      <c r="BJ108" s="6" t="s">
        <v>141</v>
      </c>
    </row>
    <row r="109" spans="2:18" s="6" customFormat="1" ht="14.25" customHeight="1">
      <c r="B109" s="21"/>
      <c r="R109" s="22"/>
    </row>
    <row r="110" spans="2:18" s="6" customFormat="1" ht="30" customHeight="1">
      <c r="B110" s="21"/>
      <c r="C110" s="89" t="s">
        <v>115</v>
      </c>
      <c r="D110" s="30"/>
      <c r="E110" s="30"/>
      <c r="F110" s="30"/>
      <c r="G110" s="30"/>
      <c r="H110" s="30"/>
      <c r="I110" s="30"/>
      <c r="J110" s="30"/>
      <c r="K110" s="30"/>
      <c r="L110" s="189">
        <f>ROUNDUP(SUM($N$88+$N$102),2)</f>
        <v>0</v>
      </c>
      <c r="M110" s="190"/>
      <c r="N110" s="190"/>
      <c r="O110" s="190"/>
      <c r="P110" s="190"/>
      <c r="Q110" s="190"/>
      <c r="R110" s="22"/>
    </row>
    <row r="111" spans="2:18" s="6" customFormat="1" ht="7.5" customHeight="1"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5"/>
    </row>
    <row r="115" spans="2:18" s="6" customFormat="1" ht="7.5" customHeight="1"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8"/>
    </row>
    <row r="116" spans="2:18" s="6" customFormat="1" ht="37.5" customHeight="1">
      <c r="B116" s="21"/>
      <c r="C116" s="159" t="s">
        <v>148</v>
      </c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22"/>
    </row>
    <row r="117" spans="2:18" s="6" customFormat="1" ht="7.5" customHeight="1">
      <c r="B117" s="21"/>
      <c r="R117" s="22"/>
    </row>
    <row r="118" spans="2:18" s="6" customFormat="1" ht="15" customHeight="1">
      <c r="B118" s="21"/>
      <c r="C118" s="15" t="s">
        <v>14</v>
      </c>
      <c r="F118" s="192" t="str">
        <f>$F$6</f>
        <v>1327 - Stavební úpravy stávajícího objektu - rozdělení sklepních kójí</v>
      </c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R118" s="22"/>
    </row>
    <row r="119" spans="2:18" s="6" customFormat="1" ht="15" customHeight="1">
      <c r="B119" s="21"/>
      <c r="C119" s="14" t="s">
        <v>118</v>
      </c>
      <c r="F119" s="163" t="str">
        <f>$F$7</f>
        <v>1327 a - Sklepní kóje čp. 641</v>
      </c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R119" s="22"/>
    </row>
    <row r="120" spans="2:18" s="6" customFormat="1" ht="7.5" customHeight="1">
      <c r="B120" s="21"/>
      <c r="R120" s="22"/>
    </row>
    <row r="121" spans="2:18" s="6" customFormat="1" ht="18.75" customHeight="1">
      <c r="B121" s="21"/>
      <c r="C121" s="15" t="s">
        <v>18</v>
      </c>
      <c r="F121" s="16" t="str">
        <f>$F$9</f>
        <v>Kolín II, Benešova čp. 636 - 641</v>
      </c>
      <c r="K121" s="15" t="s">
        <v>20</v>
      </c>
      <c r="M121" s="197" t="str">
        <f>IF($O$9="","",$O$9)</f>
        <v>08.07.2013</v>
      </c>
      <c r="N121" s="161"/>
      <c r="O121" s="161"/>
      <c r="P121" s="161"/>
      <c r="R121" s="22"/>
    </row>
    <row r="122" spans="2:18" s="6" customFormat="1" ht="7.5" customHeight="1">
      <c r="B122" s="21"/>
      <c r="R122" s="22"/>
    </row>
    <row r="123" spans="2:18" s="6" customFormat="1" ht="15.75" customHeight="1">
      <c r="B123" s="21"/>
      <c r="C123" s="15" t="s">
        <v>24</v>
      </c>
      <c r="F123" s="16" t="str">
        <f>$E$12</f>
        <v>Město Kolín, Karlovo náměstí 78, 280 02 Kolín 1</v>
      </c>
      <c r="K123" s="15" t="s">
        <v>30</v>
      </c>
      <c r="M123" s="174" t="str">
        <f>$E$18</f>
        <v>Ing. Karel Vrátný, Rubešova 60, 280 02 Kolín</v>
      </c>
      <c r="N123" s="161"/>
      <c r="O123" s="161"/>
      <c r="P123" s="161"/>
      <c r="Q123" s="161"/>
      <c r="R123" s="22"/>
    </row>
    <row r="124" spans="2:18" s="6" customFormat="1" ht="15" customHeight="1">
      <c r="B124" s="21"/>
      <c r="C124" s="15" t="s">
        <v>28</v>
      </c>
      <c r="F124" s="16" t="str">
        <f>IF($E$15="","",$E$15)</f>
        <v>Vyplň údaj</v>
      </c>
      <c r="K124" s="15" t="s">
        <v>33</v>
      </c>
      <c r="M124" s="174" t="str">
        <f>$E$21</f>
        <v>Ing. Karel Vrátný, Rubešova 60, 280 02 Kolín</v>
      </c>
      <c r="N124" s="161"/>
      <c r="O124" s="161"/>
      <c r="P124" s="161"/>
      <c r="Q124" s="161"/>
      <c r="R124" s="22"/>
    </row>
    <row r="125" spans="2:18" s="6" customFormat="1" ht="11.25" customHeight="1">
      <c r="B125" s="21"/>
      <c r="R125" s="22"/>
    </row>
    <row r="126" spans="2:27" s="105" customFormat="1" ht="30" customHeight="1">
      <c r="B126" s="106"/>
      <c r="C126" s="107" t="s">
        <v>149</v>
      </c>
      <c r="D126" s="108" t="s">
        <v>150</v>
      </c>
      <c r="E126" s="108" t="s">
        <v>57</v>
      </c>
      <c r="F126" s="202" t="s">
        <v>151</v>
      </c>
      <c r="G126" s="203"/>
      <c r="H126" s="203"/>
      <c r="I126" s="203"/>
      <c r="J126" s="108" t="s">
        <v>152</v>
      </c>
      <c r="K126" s="108" t="s">
        <v>153</v>
      </c>
      <c r="L126" s="202" t="s">
        <v>154</v>
      </c>
      <c r="M126" s="203"/>
      <c r="N126" s="202" t="s">
        <v>155</v>
      </c>
      <c r="O126" s="203"/>
      <c r="P126" s="203"/>
      <c r="Q126" s="204"/>
      <c r="R126" s="109"/>
      <c r="T126" s="55" t="s">
        <v>156</v>
      </c>
      <c r="U126" s="56" t="s">
        <v>39</v>
      </c>
      <c r="V126" s="56" t="s">
        <v>157</v>
      </c>
      <c r="W126" s="56" t="s">
        <v>158</v>
      </c>
      <c r="X126" s="56" t="s">
        <v>159</v>
      </c>
      <c r="Y126" s="56" t="s">
        <v>160</v>
      </c>
      <c r="Z126" s="56" t="s">
        <v>161</v>
      </c>
      <c r="AA126" s="57" t="s">
        <v>162</v>
      </c>
    </row>
    <row r="127" spans="2:63" s="6" customFormat="1" ht="30" customHeight="1">
      <c r="B127" s="21"/>
      <c r="C127" s="60" t="s">
        <v>120</v>
      </c>
      <c r="N127" s="221">
        <f>$BK$127</f>
        <v>0</v>
      </c>
      <c r="O127" s="161"/>
      <c r="P127" s="161"/>
      <c r="Q127" s="161"/>
      <c r="R127" s="22"/>
      <c r="T127" s="59"/>
      <c r="U127" s="35"/>
      <c r="V127" s="35"/>
      <c r="W127" s="110">
        <f>$W$128+$W$159+$W$199</f>
        <v>173.363089</v>
      </c>
      <c r="X127" s="35"/>
      <c r="Y127" s="110">
        <f>$Y$128+$Y$159+$Y$199</f>
        <v>0.7883091850000001</v>
      </c>
      <c r="Z127" s="35"/>
      <c r="AA127" s="111">
        <f>$AA$128+$AA$159+$AA$199</f>
        <v>1.1530412</v>
      </c>
      <c r="AT127" s="6" t="s">
        <v>74</v>
      </c>
      <c r="AU127" s="6" t="s">
        <v>125</v>
      </c>
      <c r="BK127" s="112">
        <f>$BK$128+$BK$159+$BK$199</f>
        <v>0</v>
      </c>
    </row>
    <row r="128" spans="2:63" s="113" customFormat="1" ht="37.5" customHeight="1">
      <c r="B128" s="114"/>
      <c r="D128" s="115" t="s">
        <v>126</v>
      </c>
      <c r="N128" s="201">
        <f>$BK$128</f>
        <v>0</v>
      </c>
      <c r="O128" s="222"/>
      <c r="P128" s="222"/>
      <c r="Q128" s="222"/>
      <c r="R128" s="117"/>
      <c r="T128" s="118"/>
      <c r="W128" s="119">
        <f>$W$129+$W$135+$W$144</f>
        <v>60.763825</v>
      </c>
      <c r="Y128" s="119">
        <f>$Y$129+$Y$135+$Y$144</f>
        <v>0.5020866500000001</v>
      </c>
      <c r="AA128" s="120">
        <f>$AA$129+$AA$135+$AA$144</f>
        <v>0.903034</v>
      </c>
      <c r="AR128" s="116" t="s">
        <v>17</v>
      </c>
      <c r="AT128" s="116" t="s">
        <v>74</v>
      </c>
      <c r="AU128" s="116" t="s">
        <v>75</v>
      </c>
      <c r="AY128" s="116" t="s">
        <v>163</v>
      </c>
      <c r="BK128" s="121">
        <f>$BK$129+$BK$135+$BK$144</f>
        <v>0</v>
      </c>
    </row>
    <row r="129" spans="2:63" s="113" customFormat="1" ht="21" customHeight="1">
      <c r="B129" s="114"/>
      <c r="D129" s="122" t="s">
        <v>127</v>
      </c>
      <c r="N129" s="223">
        <f>$BK$129</f>
        <v>0</v>
      </c>
      <c r="O129" s="222"/>
      <c r="P129" s="222"/>
      <c r="Q129" s="222"/>
      <c r="R129" s="117"/>
      <c r="T129" s="118"/>
      <c r="W129" s="119">
        <f>SUM($W$130:$W$134)</f>
        <v>1.7011749999999999</v>
      </c>
      <c r="Y129" s="119">
        <f>SUM($Y$130:$Y$134)</f>
        <v>0.13809233999999998</v>
      </c>
      <c r="AA129" s="120">
        <f>SUM($AA$130:$AA$134)</f>
        <v>0</v>
      </c>
      <c r="AR129" s="116" t="s">
        <v>17</v>
      </c>
      <c r="AT129" s="116" t="s">
        <v>74</v>
      </c>
      <c r="AU129" s="116" t="s">
        <v>17</v>
      </c>
      <c r="AY129" s="116" t="s">
        <v>163</v>
      </c>
      <c r="BK129" s="121">
        <f>SUM($BK$130:$BK$134)</f>
        <v>0</v>
      </c>
    </row>
    <row r="130" spans="2:64" s="6" customFormat="1" ht="39" customHeight="1">
      <c r="B130" s="21"/>
      <c r="C130" s="123" t="s">
        <v>17</v>
      </c>
      <c r="D130" s="123" t="s">
        <v>164</v>
      </c>
      <c r="E130" s="124" t="s">
        <v>165</v>
      </c>
      <c r="F130" s="205" t="s">
        <v>166</v>
      </c>
      <c r="G130" s="206"/>
      <c r="H130" s="206"/>
      <c r="I130" s="206"/>
      <c r="J130" s="125" t="s">
        <v>167</v>
      </c>
      <c r="K130" s="126">
        <v>1</v>
      </c>
      <c r="L130" s="207">
        <v>0</v>
      </c>
      <c r="M130" s="206"/>
      <c r="N130" s="208">
        <f>ROUND($L$130*$K$130,2)</f>
        <v>0</v>
      </c>
      <c r="O130" s="206"/>
      <c r="P130" s="206"/>
      <c r="Q130" s="206"/>
      <c r="R130" s="22"/>
      <c r="T130" s="127"/>
      <c r="U130" s="28" t="s">
        <v>42</v>
      </c>
      <c r="V130" s="128">
        <v>0.196</v>
      </c>
      <c r="W130" s="128">
        <f>$V$130*$K$130</f>
        <v>0.196</v>
      </c>
      <c r="X130" s="128">
        <v>0.02684</v>
      </c>
      <c r="Y130" s="128">
        <f>$X$130*$K$130</f>
        <v>0.02684</v>
      </c>
      <c r="Z130" s="128">
        <v>0</v>
      </c>
      <c r="AA130" s="129">
        <f>$Z$130*$K$130</f>
        <v>0</v>
      </c>
      <c r="AR130" s="6" t="s">
        <v>168</v>
      </c>
      <c r="AT130" s="6" t="s">
        <v>164</v>
      </c>
      <c r="AU130" s="6" t="s">
        <v>141</v>
      </c>
      <c r="AY130" s="6" t="s">
        <v>163</v>
      </c>
      <c r="BE130" s="82">
        <f>IF($U$130="základní",$N$130,0)</f>
        <v>0</v>
      </c>
      <c r="BF130" s="82">
        <f>IF($U$130="snížená",$N$130,0)</f>
        <v>0</v>
      </c>
      <c r="BG130" s="82">
        <f>IF($U$130="zákl. přenesená",$N$130,0)</f>
        <v>0</v>
      </c>
      <c r="BH130" s="82">
        <f>IF($U$130="sníž. přenesená",$N$130,0)</f>
        <v>0</v>
      </c>
      <c r="BI130" s="82">
        <f>IF($U$130="nulová",$N$130,0)</f>
        <v>0</v>
      </c>
      <c r="BJ130" s="6" t="s">
        <v>141</v>
      </c>
      <c r="BK130" s="82">
        <f>ROUND($L$130*$K$130,2)</f>
        <v>0</v>
      </c>
      <c r="BL130" s="6" t="s">
        <v>168</v>
      </c>
    </row>
    <row r="131" spans="2:64" s="6" customFormat="1" ht="39" customHeight="1">
      <c r="B131" s="21"/>
      <c r="C131" s="123" t="s">
        <v>141</v>
      </c>
      <c r="D131" s="123" t="s">
        <v>164</v>
      </c>
      <c r="E131" s="124" t="s">
        <v>169</v>
      </c>
      <c r="F131" s="205" t="s">
        <v>170</v>
      </c>
      <c r="G131" s="206"/>
      <c r="H131" s="206"/>
      <c r="I131" s="206"/>
      <c r="J131" s="125" t="s">
        <v>171</v>
      </c>
      <c r="K131" s="126">
        <v>1.587</v>
      </c>
      <c r="L131" s="207">
        <v>0</v>
      </c>
      <c r="M131" s="206"/>
      <c r="N131" s="208">
        <f>ROUND($L$131*$K$131,2)</f>
        <v>0</v>
      </c>
      <c r="O131" s="206"/>
      <c r="P131" s="206"/>
      <c r="Q131" s="206"/>
      <c r="R131" s="22"/>
      <c r="T131" s="127"/>
      <c r="U131" s="28" t="s">
        <v>42</v>
      </c>
      <c r="V131" s="128">
        <v>0.525</v>
      </c>
      <c r="W131" s="128">
        <f>$V$131*$K$131</f>
        <v>0.833175</v>
      </c>
      <c r="X131" s="128">
        <v>0.06982</v>
      </c>
      <c r="Y131" s="128">
        <f>$X$131*$K$131</f>
        <v>0.11080433999999999</v>
      </c>
      <c r="Z131" s="128">
        <v>0</v>
      </c>
      <c r="AA131" s="129">
        <f>$Z$131*$K$131</f>
        <v>0</v>
      </c>
      <c r="AR131" s="6" t="s">
        <v>168</v>
      </c>
      <c r="AT131" s="6" t="s">
        <v>164</v>
      </c>
      <c r="AU131" s="6" t="s">
        <v>141</v>
      </c>
      <c r="AY131" s="6" t="s">
        <v>163</v>
      </c>
      <c r="BE131" s="82">
        <f>IF($U$131="základní",$N$131,0)</f>
        <v>0</v>
      </c>
      <c r="BF131" s="82">
        <f>IF($U$131="snížená",$N$131,0)</f>
        <v>0</v>
      </c>
      <c r="BG131" s="82">
        <f>IF($U$131="zákl. přenesená",$N$131,0)</f>
        <v>0</v>
      </c>
      <c r="BH131" s="82">
        <f>IF($U$131="sníž. přenesená",$N$131,0)</f>
        <v>0</v>
      </c>
      <c r="BI131" s="82">
        <f>IF($U$131="nulová",$N$131,0)</f>
        <v>0</v>
      </c>
      <c r="BJ131" s="6" t="s">
        <v>141</v>
      </c>
      <c r="BK131" s="82">
        <f>ROUND($L$131*$K$131,2)</f>
        <v>0</v>
      </c>
      <c r="BL131" s="6" t="s">
        <v>168</v>
      </c>
    </row>
    <row r="132" spans="2:51" s="6" customFormat="1" ht="15.75" customHeight="1">
      <c r="B132" s="130"/>
      <c r="E132" s="131"/>
      <c r="F132" s="209" t="s">
        <v>172</v>
      </c>
      <c r="G132" s="210"/>
      <c r="H132" s="210"/>
      <c r="I132" s="210"/>
      <c r="K132" s="132">
        <v>1.587</v>
      </c>
      <c r="R132" s="133"/>
      <c r="T132" s="134"/>
      <c r="AA132" s="135"/>
      <c r="AT132" s="131" t="s">
        <v>173</v>
      </c>
      <c r="AU132" s="131" t="s">
        <v>141</v>
      </c>
      <c r="AV132" s="131" t="s">
        <v>141</v>
      </c>
      <c r="AW132" s="131" t="s">
        <v>125</v>
      </c>
      <c r="AX132" s="131" t="s">
        <v>17</v>
      </c>
      <c r="AY132" s="131" t="s">
        <v>163</v>
      </c>
    </row>
    <row r="133" spans="2:64" s="6" customFormat="1" ht="27" customHeight="1">
      <c r="B133" s="21"/>
      <c r="C133" s="123" t="s">
        <v>174</v>
      </c>
      <c r="D133" s="123" t="s">
        <v>164</v>
      </c>
      <c r="E133" s="124" t="s">
        <v>175</v>
      </c>
      <c r="F133" s="205" t="s">
        <v>176</v>
      </c>
      <c r="G133" s="206"/>
      <c r="H133" s="206"/>
      <c r="I133" s="206"/>
      <c r="J133" s="125" t="s">
        <v>177</v>
      </c>
      <c r="K133" s="126">
        <v>5.6</v>
      </c>
      <c r="L133" s="207">
        <v>0</v>
      </c>
      <c r="M133" s="206"/>
      <c r="N133" s="208">
        <f>ROUND($L$133*$K$133,2)</f>
        <v>0</v>
      </c>
      <c r="O133" s="206"/>
      <c r="P133" s="206"/>
      <c r="Q133" s="206"/>
      <c r="R133" s="22"/>
      <c r="T133" s="127"/>
      <c r="U133" s="28" t="s">
        <v>42</v>
      </c>
      <c r="V133" s="128">
        <v>0.12</v>
      </c>
      <c r="W133" s="128">
        <f>$V$133*$K$133</f>
        <v>0.6719999999999999</v>
      </c>
      <c r="X133" s="128">
        <v>8E-05</v>
      </c>
      <c r="Y133" s="128">
        <f>$X$133*$K$133</f>
        <v>0.000448</v>
      </c>
      <c r="Z133" s="128">
        <v>0</v>
      </c>
      <c r="AA133" s="129">
        <f>$Z$133*$K$133</f>
        <v>0</v>
      </c>
      <c r="AR133" s="6" t="s">
        <v>168</v>
      </c>
      <c r="AT133" s="6" t="s">
        <v>164</v>
      </c>
      <c r="AU133" s="6" t="s">
        <v>141</v>
      </c>
      <c r="AY133" s="6" t="s">
        <v>163</v>
      </c>
      <c r="BE133" s="82">
        <f>IF($U$133="základní",$N$133,0)</f>
        <v>0</v>
      </c>
      <c r="BF133" s="82">
        <f>IF($U$133="snížená",$N$133,0)</f>
        <v>0</v>
      </c>
      <c r="BG133" s="82">
        <f>IF($U$133="zákl. přenesená",$N$133,0)</f>
        <v>0</v>
      </c>
      <c r="BH133" s="82">
        <f>IF($U$133="sníž. přenesená",$N$133,0)</f>
        <v>0</v>
      </c>
      <c r="BI133" s="82">
        <f>IF($U$133="nulová",$N$133,0)</f>
        <v>0</v>
      </c>
      <c r="BJ133" s="6" t="s">
        <v>141</v>
      </c>
      <c r="BK133" s="82">
        <f>ROUND($L$133*$K$133,2)</f>
        <v>0</v>
      </c>
      <c r="BL133" s="6" t="s">
        <v>168</v>
      </c>
    </row>
    <row r="134" spans="2:51" s="6" customFormat="1" ht="15.75" customHeight="1">
      <c r="B134" s="130"/>
      <c r="E134" s="131"/>
      <c r="F134" s="209" t="s">
        <v>178</v>
      </c>
      <c r="G134" s="210"/>
      <c r="H134" s="210"/>
      <c r="I134" s="210"/>
      <c r="K134" s="132">
        <v>5.6</v>
      </c>
      <c r="R134" s="133"/>
      <c r="T134" s="134"/>
      <c r="AA134" s="135"/>
      <c r="AT134" s="131" t="s">
        <v>173</v>
      </c>
      <c r="AU134" s="131" t="s">
        <v>141</v>
      </c>
      <c r="AV134" s="131" t="s">
        <v>141</v>
      </c>
      <c r="AW134" s="131" t="s">
        <v>125</v>
      </c>
      <c r="AX134" s="131" t="s">
        <v>17</v>
      </c>
      <c r="AY134" s="131" t="s">
        <v>163</v>
      </c>
    </row>
    <row r="135" spans="2:63" s="113" customFormat="1" ht="30.75" customHeight="1">
      <c r="B135" s="114"/>
      <c r="D135" s="122" t="s">
        <v>128</v>
      </c>
      <c r="N135" s="223">
        <f>$BK$135</f>
        <v>0</v>
      </c>
      <c r="O135" s="222"/>
      <c r="P135" s="222"/>
      <c r="Q135" s="222"/>
      <c r="R135" s="117"/>
      <c r="T135" s="118"/>
      <c r="W135" s="119">
        <f>SUM($W$136:$W$143)</f>
        <v>13.59054</v>
      </c>
      <c r="Y135" s="119">
        <f>SUM($Y$136:$Y$143)</f>
        <v>0.35864679000000005</v>
      </c>
      <c r="AA135" s="120">
        <f>SUM($AA$136:$AA$143)</f>
        <v>0</v>
      </c>
      <c r="AR135" s="116" t="s">
        <v>17</v>
      </c>
      <c r="AT135" s="116" t="s">
        <v>74</v>
      </c>
      <c r="AU135" s="116" t="s">
        <v>17</v>
      </c>
      <c r="AY135" s="116" t="s">
        <v>163</v>
      </c>
      <c r="BK135" s="121">
        <f>SUM($BK$136:$BK$143)</f>
        <v>0</v>
      </c>
    </row>
    <row r="136" spans="2:64" s="6" customFormat="1" ht="27" customHeight="1">
      <c r="B136" s="21"/>
      <c r="C136" s="123" t="s">
        <v>168</v>
      </c>
      <c r="D136" s="123" t="s">
        <v>164</v>
      </c>
      <c r="E136" s="124" t="s">
        <v>179</v>
      </c>
      <c r="F136" s="205" t="s">
        <v>180</v>
      </c>
      <c r="G136" s="206"/>
      <c r="H136" s="206"/>
      <c r="I136" s="206"/>
      <c r="J136" s="125" t="s">
        <v>171</v>
      </c>
      <c r="K136" s="126">
        <v>1.587</v>
      </c>
      <c r="L136" s="207">
        <v>0</v>
      </c>
      <c r="M136" s="206"/>
      <c r="N136" s="208">
        <f>ROUND($L$136*$K$136,2)</f>
        <v>0</v>
      </c>
      <c r="O136" s="206"/>
      <c r="P136" s="206"/>
      <c r="Q136" s="206"/>
      <c r="R136" s="22"/>
      <c r="T136" s="127"/>
      <c r="U136" s="28" t="s">
        <v>42</v>
      </c>
      <c r="V136" s="128">
        <v>0.46</v>
      </c>
      <c r="W136" s="128">
        <f>$V$136*$K$136</f>
        <v>0.73002</v>
      </c>
      <c r="X136" s="128">
        <v>0.01733</v>
      </c>
      <c r="Y136" s="128">
        <f>$X$136*$K$136</f>
        <v>0.027502710000000003</v>
      </c>
      <c r="Z136" s="128">
        <v>0</v>
      </c>
      <c r="AA136" s="129">
        <f>$Z$136*$K$136</f>
        <v>0</v>
      </c>
      <c r="AR136" s="6" t="s">
        <v>168</v>
      </c>
      <c r="AT136" s="6" t="s">
        <v>164</v>
      </c>
      <c r="AU136" s="6" t="s">
        <v>141</v>
      </c>
      <c r="AY136" s="6" t="s">
        <v>163</v>
      </c>
      <c r="BE136" s="82">
        <f>IF($U$136="základní",$N$136,0)</f>
        <v>0</v>
      </c>
      <c r="BF136" s="82">
        <f>IF($U$136="snížená",$N$136,0)</f>
        <v>0</v>
      </c>
      <c r="BG136" s="82">
        <f>IF($U$136="zákl. přenesená",$N$136,0)</f>
        <v>0</v>
      </c>
      <c r="BH136" s="82">
        <f>IF($U$136="sníž. přenesená",$N$136,0)</f>
        <v>0</v>
      </c>
      <c r="BI136" s="82">
        <f>IF($U$136="nulová",$N$136,0)</f>
        <v>0</v>
      </c>
      <c r="BJ136" s="6" t="s">
        <v>141</v>
      </c>
      <c r="BK136" s="82">
        <f>ROUND($L$136*$K$136,2)</f>
        <v>0</v>
      </c>
      <c r="BL136" s="6" t="s">
        <v>168</v>
      </c>
    </row>
    <row r="137" spans="2:51" s="6" customFormat="1" ht="15.75" customHeight="1">
      <c r="B137" s="130"/>
      <c r="E137" s="131"/>
      <c r="F137" s="209" t="s">
        <v>181</v>
      </c>
      <c r="G137" s="210"/>
      <c r="H137" s="210"/>
      <c r="I137" s="210"/>
      <c r="K137" s="132">
        <v>1.587</v>
      </c>
      <c r="R137" s="133"/>
      <c r="T137" s="134"/>
      <c r="AA137" s="135"/>
      <c r="AT137" s="131" t="s">
        <v>173</v>
      </c>
      <c r="AU137" s="131" t="s">
        <v>141</v>
      </c>
      <c r="AV137" s="131" t="s">
        <v>141</v>
      </c>
      <c r="AW137" s="131" t="s">
        <v>125</v>
      </c>
      <c r="AX137" s="131" t="s">
        <v>17</v>
      </c>
      <c r="AY137" s="131" t="s">
        <v>163</v>
      </c>
    </row>
    <row r="138" spans="2:64" s="6" customFormat="1" ht="27" customHeight="1">
      <c r="B138" s="21"/>
      <c r="C138" s="123" t="s">
        <v>182</v>
      </c>
      <c r="D138" s="123" t="s">
        <v>164</v>
      </c>
      <c r="E138" s="124" t="s">
        <v>183</v>
      </c>
      <c r="F138" s="205" t="s">
        <v>184</v>
      </c>
      <c r="G138" s="206"/>
      <c r="H138" s="206"/>
      <c r="I138" s="206"/>
      <c r="J138" s="125" t="s">
        <v>171</v>
      </c>
      <c r="K138" s="126">
        <v>5.516</v>
      </c>
      <c r="L138" s="207">
        <v>0</v>
      </c>
      <c r="M138" s="206"/>
      <c r="N138" s="208">
        <f>ROUND($L$138*$K$138,2)</f>
        <v>0</v>
      </c>
      <c r="O138" s="206"/>
      <c r="P138" s="206"/>
      <c r="Q138" s="206"/>
      <c r="R138" s="22"/>
      <c r="T138" s="127"/>
      <c r="U138" s="28" t="s">
        <v>42</v>
      </c>
      <c r="V138" s="128">
        <v>0.47</v>
      </c>
      <c r="W138" s="128">
        <f>$V$138*$K$138</f>
        <v>2.59252</v>
      </c>
      <c r="X138" s="128">
        <v>0.01838</v>
      </c>
      <c r="Y138" s="128">
        <f>$X$138*$K$138</f>
        <v>0.10138408</v>
      </c>
      <c r="Z138" s="128">
        <v>0</v>
      </c>
      <c r="AA138" s="129">
        <f>$Z$138*$K$138</f>
        <v>0</v>
      </c>
      <c r="AR138" s="6" t="s">
        <v>168</v>
      </c>
      <c r="AT138" s="6" t="s">
        <v>164</v>
      </c>
      <c r="AU138" s="6" t="s">
        <v>141</v>
      </c>
      <c r="AY138" s="6" t="s">
        <v>163</v>
      </c>
      <c r="BE138" s="82">
        <f>IF($U$138="základní",$N$138,0)</f>
        <v>0</v>
      </c>
      <c r="BF138" s="82">
        <f>IF($U$138="snížená",$N$138,0)</f>
        <v>0</v>
      </c>
      <c r="BG138" s="82">
        <f>IF($U$138="zákl. přenesená",$N$138,0)</f>
        <v>0</v>
      </c>
      <c r="BH138" s="82">
        <f>IF($U$138="sníž. přenesená",$N$138,0)</f>
        <v>0</v>
      </c>
      <c r="BI138" s="82">
        <f>IF($U$138="nulová",$N$138,0)</f>
        <v>0</v>
      </c>
      <c r="BJ138" s="6" t="s">
        <v>141</v>
      </c>
      <c r="BK138" s="82">
        <f>ROUND($L$138*$K$138,2)</f>
        <v>0</v>
      </c>
      <c r="BL138" s="6" t="s">
        <v>168</v>
      </c>
    </row>
    <row r="139" spans="2:51" s="6" customFormat="1" ht="15.75" customHeight="1">
      <c r="B139" s="130"/>
      <c r="E139" s="131"/>
      <c r="F139" s="209" t="s">
        <v>185</v>
      </c>
      <c r="G139" s="210"/>
      <c r="H139" s="210"/>
      <c r="I139" s="210"/>
      <c r="K139" s="132">
        <v>5.516</v>
      </c>
      <c r="R139" s="133"/>
      <c r="T139" s="134"/>
      <c r="AA139" s="135"/>
      <c r="AT139" s="131" t="s">
        <v>173</v>
      </c>
      <c r="AU139" s="131" t="s">
        <v>141</v>
      </c>
      <c r="AV139" s="131" t="s">
        <v>141</v>
      </c>
      <c r="AW139" s="131" t="s">
        <v>125</v>
      </c>
      <c r="AX139" s="131" t="s">
        <v>17</v>
      </c>
      <c r="AY139" s="131" t="s">
        <v>163</v>
      </c>
    </row>
    <row r="140" spans="2:64" s="6" customFormat="1" ht="15.75" customHeight="1">
      <c r="B140" s="21"/>
      <c r="C140" s="123" t="s">
        <v>186</v>
      </c>
      <c r="D140" s="123" t="s">
        <v>164</v>
      </c>
      <c r="E140" s="124" t="s">
        <v>187</v>
      </c>
      <c r="F140" s="205" t="s">
        <v>188</v>
      </c>
      <c r="G140" s="206"/>
      <c r="H140" s="206"/>
      <c r="I140" s="206"/>
      <c r="J140" s="125" t="s">
        <v>167</v>
      </c>
      <c r="K140" s="126">
        <v>4</v>
      </c>
      <c r="L140" s="207">
        <v>0</v>
      </c>
      <c r="M140" s="206"/>
      <c r="N140" s="208">
        <f>ROUND($L$140*$K$140,2)</f>
        <v>0</v>
      </c>
      <c r="O140" s="206"/>
      <c r="P140" s="206"/>
      <c r="Q140" s="206"/>
      <c r="R140" s="22"/>
      <c r="T140" s="127"/>
      <c r="U140" s="28" t="s">
        <v>42</v>
      </c>
      <c r="V140" s="128">
        <v>1.607</v>
      </c>
      <c r="W140" s="128">
        <f>$V$140*$K$140</f>
        <v>6.428</v>
      </c>
      <c r="X140" s="128">
        <v>0.04634</v>
      </c>
      <c r="Y140" s="128">
        <f>$X$140*$K$140</f>
        <v>0.18536</v>
      </c>
      <c r="Z140" s="128">
        <v>0</v>
      </c>
      <c r="AA140" s="129">
        <f>$Z$140*$K$140</f>
        <v>0</v>
      </c>
      <c r="AR140" s="6" t="s">
        <v>168</v>
      </c>
      <c r="AT140" s="6" t="s">
        <v>164</v>
      </c>
      <c r="AU140" s="6" t="s">
        <v>141</v>
      </c>
      <c r="AY140" s="6" t="s">
        <v>163</v>
      </c>
      <c r="BE140" s="82">
        <f>IF($U$140="základní",$N$140,0)</f>
        <v>0</v>
      </c>
      <c r="BF140" s="82">
        <f>IF($U$140="snížená",$N$140,0)</f>
        <v>0</v>
      </c>
      <c r="BG140" s="82">
        <f>IF($U$140="zákl. přenesená",$N$140,0)</f>
        <v>0</v>
      </c>
      <c r="BH140" s="82">
        <f>IF($U$140="sníž. přenesená",$N$140,0)</f>
        <v>0</v>
      </c>
      <c r="BI140" s="82">
        <f>IF($U$140="nulová",$N$140,0)</f>
        <v>0</v>
      </c>
      <c r="BJ140" s="6" t="s">
        <v>141</v>
      </c>
      <c r="BK140" s="82">
        <f>ROUND($L$140*$K$140,2)</f>
        <v>0</v>
      </c>
      <c r="BL140" s="6" t="s">
        <v>168</v>
      </c>
    </row>
    <row r="141" spans="2:64" s="6" customFormat="1" ht="15.75" customHeight="1">
      <c r="B141" s="21"/>
      <c r="C141" s="136" t="s">
        <v>189</v>
      </c>
      <c r="D141" s="136" t="s">
        <v>190</v>
      </c>
      <c r="E141" s="137" t="s">
        <v>191</v>
      </c>
      <c r="F141" s="211" t="s">
        <v>192</v>
      </c>
      <c r="G141" s="212"/>
      <c r="H141" s="212"/>
      <c r="I141" s="212"/>
      <c r="J141" s="138" t="s">
        <v>167</v>
      </c>
      <c r="K141" s="139">
        <v>3</v>
      </c>
      <c r="L141" s="213">
        <v>0</v>
      </c>
      <c r="M141" s="212"/>
      <c r="N141" s="214">
        <f>ROUND($L$141*$K$141,2)</f>
        <v>0</v>
      </c>
      <c r="O141" s="206"/>
      <c r="P141" s="206"/>
      <c r="Q141" s="206"/>
      <c r="R141" s="22"/>
      <c r="T141" s="127"/>
      <c r="U141" s="28" t="s">
        <v>42</v>
      </c>
      <c r="V141" s="128">
        <v>0</v>
      </c>
      <c r="W141" s="128">
        <f>$V$141*$K$141</f>
        <v>0</v>
      </c>
      <c r="X141" s="128">
        <v>0.011</v>
      </c>
      <c r="Y141" s="128">
        <f>$X$141*$K$141</f>
        <v>0.033</v>
      </c>
      <c r="Z141" s="128">
        <v>0</v>
      </c>
      <c r="AA141" s="129">
        <f>$Z$141*$K$141</f>
        <v>0</v>
      </c>
      <c r="AR141" s="6" t="s">
        <v>193</v>
      </c>
      <c r="AT141" s="6" t="s">
        <v>190</v>
      </c>
      <c r="AU141" s="6" t="s">
        <v>141</v>
      </c>
      <c r="AY141" s="6" t="s">
        <v>163</v>
      </c>
      <c r="BE141" s="82">
        <f>IF($U$141="základní",$N$141,0)</f>
        <v>0</v>
      </c>
      <c r="BF141" s="82">
        <f>IF($U$141="snížená",$N$141,0)</f>
        <v>0</v>
      </c>
      <c r="BG141" s="82">
        <f>IF($U$141="zákl. přenesená",$N$141,0)</f>
        <v>0</v>
      </c>
      <c r="BH141" s="82">
        <f>IF($U$141="sníž. přenesená",$N$141,0)</f>
        <v>0</v>
      </c>
      <c r="BI141" s="82">
        <f>IF($U$141="nulová",$N$141,0)</f>
        <v>0</v>
      </c>
      <c r="BJ141" s="6" t="s">
        <v>141</v>
      </c>
      <c r="BK141" s="82">
        <f>ROUND($L$141*$K$141,2)</f>
        <v>0</v>
      </c>
      <c r="BL141" s="6" t="s">
        <v>168</v>
      </c>
    </row>
    <row r="142" spans="2:64" s="6" customFormat="1" ht="15.75" customHeight="1">
      <c r="B142" s="21"/>
      <c r="C142" s="136" t="s">
        <v>193</v>
      </c>
      <c r="D142" s="136" t="s">
        <v>190</v>
      </c>
      <c r="E142" s="137" t="s">
        <v>194</v>
      </c>
      <c r="F142" s="211" t="s">
        <v>195</v>
      </c>
      <c r="G142" s="212"/>
      <c r="H142" s="212"/>
      <c r="I142" s="212"/>
      <c r="J142" s="138" t="s">
        <v>167</v>
      </c>
      <c r="K142" s="139">
        <v>1</v>
      </c>
      <c r="L142" s="213">
        <v>0</v>
      </c>
      <c r="M142" s="212"/>
      <c r="N142" s="214">
        <f>ROUND($L$142*$K$142,2)</f>
        <v>0</v>
      </c>
      <c r="O142" s="206"/>
      <c r="P142" s="206"/>
      <c r="Q142" s="206"/>
      <c r="R142" s="22"/>
      <c r="T142" s="127"/>
      <c r="U142" s="28" t="s">
        <v>42</v>
      </c>
      <c r="V142" s="128">
        <v>0</v>
      </c>
      <c r="W142" s="128">
        <f>$V$142*$K$142</f>
        <v>0</v>
      </c>
      <c r="X142" s="128">
        <v>0.0114</v>
      </c>
      <c r="Y142" s="128">
        <f>$X$142*$K$142</f>
        <v>0.0114</v>
      </c>
      <c r="Z142" s="128">
        <v>0</v>
      </c>
      <c r="AA142" s="129">
        <f>$Z$142*$K$142</f>
        <v>0</v>
      </c>
      <c r="AR142" s="6" t="s">
        <v>193</v>
      </c>
      <c r="AT142" s="6" t="s">
        <v>190</v>
      </c>
      <c r="AU142" s="6" t="s">
        <v>141</v>
      </c>
      <c r="AY142" s="6" t="s">
        <v>163</v>
      </c>
      <c r="BE142" s="82">
        <f>IF($U$142="základní",$N$142,0)</f>
        <v>0</v>
      </c>
      <c r="BF142" s="82">
        <f>IF($U$142="snížená",$N$142,0)</f>
        <v>0</v>
      </c>
      <c r="BG142" s="82">
        <f>IF($U$142="zákl. přenesená",$N$142,0)</f>
        <v>0</v>
      </c>
      <c r="BH142" s="82">
        <f>IF($U$142="sníž. přenesená",$N$142,0)</f>
        <v>0</v>
      </c>
      <c r="BI142" s="82">
        <f>IF($U$142="nulová",$N$142,0)</f>
        <v>0</v>
      </c>
      <c r="BJ142" s="6" t="s">
        <v>141</v>
      </c>
      <c r="BK142" s="82">
        <f>ROUND($L$142*$K$142,2)</f>
        <v>0</v>
      </c>
      <c r="BL142" s="6" t="s">
        <v>168</v>
      </c>
    </row>
    <row r="143" spans="2:64" s="6" customFormat="1" ht="27" customHeight="1">
      <c r="B143" s="21"/>
      <c r="C143" s="123" t="s">
        <v>196</v>
      </c>
      <c r="D143" s="123" t="s">
        <v>164</v>
      </c>
      <c r="E143" s="124" t="s">
        <v>197</v>
      </c>
      <c r="F143" s="205" t="s">
        <v>198</v>
      </c>
      <c r="G143" s="206"/>
      <c r="H143" s="206"/>
      <c r="I143" s="206"/>
      <c r="J143" s="125" t="s">
        <v>167</v>
      </c>
      <c r="K143" s="126">
        <v>24</v>
      </c>
      <c r="L143" s="207">
        <v>0</v>
      </c>
      <c r="M143" s="206"/>
      <c r="N143" s="208">
        <f>ROUND($L$143*$K$143,2)</f>
        <v>0</v>
      </c>
      <c r="O143" s="206"/>
      <c r="P143" s="206"/>
      <c r="Q143" s="206"/>
      <c r="R143" s="22"/>
      <c r="T143" s="127"/>
      <c r="U143" s="28" t="s">
        <v>42</v>
      </c>
      <c r="V143" s="128">
        <v>0.16</v>
      </c>
      <c r="W143" s="128">
        <f>$V$143*$K$143</f>
        <v>3.84</v>
      </c>
      <c r="X143" s="128">
        <v>0</v>
      </c>
      <c r="Y143" s="128">
        <f>$X$143*$K$143</f>
        <v>0</v>
      </c>
      <c r="Z143" s="128">
        <v>0</v>
      </c>
      <c r="AA143" s="129">
        <f>$Z$143*$K$143</f>
        <v>0</v>
      </c>
      <c r="AR143" s="6" t="s">
        <v>168</v>
      </c>
      <c r="AT143" s="6" t="s">
        <v>164</v>
      </c>
      <c r="AU143" s="6" t="s">
        <v>141</v>
      </c>
      <c r="AY143" s="6" t="s">
        <v>163</v>
      </c>
      <c r="BE143" s="82">
        <f>IF($U$143="základní",$N$143,0)</f>
        <v>0</v>
      </c>
      <c r="BF143" s="82">
        <f>IF($U$143="snížená",$N$143,0)</f>
        <v>0</v>
      </c>
      <c r="BG143" s="82">
        <f>IF($U$143="zákl. přenesená",$N$143,0)</f>
        <v>0</v>
      </c>
      <c r="BH143" s="82">
        <f>IF($U$143="sníž. přenesená",$N$143,0)</f>
        <v>0</v>
      </c>
      <c r="BI143" s="82">
        <f>IF($U$143="nulová",$N$143,0)</f>
        <v>0</v>
      </c>
      <c r="BJ143" s="6" t="s">
        <v>141</v>
      </c>
      <c r="BK143" s="82">
        <f>ROUND($L$143*$K$143,2)</f>
        <v>0</v>
      </c>
      <c r="BL143" s="6" t="s">
        <v>168</v>
      </c>
    </row>
    <row r="144" spans="2:63" s="113" customFormat="1" ht="30.75" customHeight="1">
      <c r="B144" s="114"/>
      <c r="D144" s="122" t="s">
        <v>129</v>
      </c>
      <c r="N144" s="223">
        <f>$BK$144</f>
        <v>0</v>
      </c>
      <c r="O144" s="222"/>
      <c r="P144" s="222"/>
      <c r="Q144" s="222"/>
      <c r="R144" s="117"/>
      <c r="T144" s="118"/>
      <c r="W144" s="119">
        <f>$W$145+SUM($W$146:$W$152)</f>
        <v>45.472109999999994</v>
      </c>
      <c r="Y144" s="119">
        <f>$Y$145+SUM($Y$146:$Y$152)</f>
        <v>0.00534752</v>
      </c>
      <c r="AA144" s="120">
        <f>$AA$145+SUM($AA$146:$AA$152)</f>
        <v>0.903034</v>
      </c>
      <c r="AR144" s="116" t="s">
        <v>17</v>
      </c>
      <c r="AT144" s="116" t="s">
        <v>74</v>
      </c>
      <c r="AU144" s="116" t="s">
        <v>17</v>
      </c>
      <c r="AY144" s="116" t="s">
        <v>163</v>
      </c>
      <c r="BK144" s="121">
        <f>$BK$145+SUM($BK$146:$BK$152)</f>
        <v>0</v>
      </c>
    </row>
    <row r="145" spans="2:64" s="6" customFormat="1" ht="27" customHeight="1">
      <c r="B145" s="21"/>
      <c r="C145" s="123" t="s">
        <v>22</v>
      </c>
      <c r="D145" s="123" t="s">
        <v>164</v>
      </c>
      <c r="E145" s="124" t="s">
        <v>199</v>
      </c>
      <c r="F145" s="205" t="s">
        <v>200</v>
      </c>
      <c r="G145" s="206"/>
      <c r="H145" s="206"/>
      <c r="I145" s="206"/>
      <c r="J145" s="125" t="s">
        <v>171</v>
      </c>
      <c r="K145" s="126">
        <v>133.688</v>
      </c>
      <c r="L145" s="207">
        <v>0</v>
      </c>
      <c r="M145" s="206"/>
      <c r="N145" s="208">
        <f>ROUND($L$145*$K$145,2)</f>
        <v>0</v>
      </c>
      <c r="O145" s="206"/>
      <c r="P145" s="206"/>
      <c r="Q145" s="206"/>
      <c r="R145" s="22"/>
      <c r="T145" s="127"/>
      <c r="U145" s="28" t="s">
        <v>42</v>
      </c>
      <c r="V145" s="128">
        <v>0.308</v>
      </c>
      <c r="W145" s="128">
        <f>$V$145*$K$145</f>
        <v>41.175903999999996</v>
      </c>
      <c r="X145" s="128">
        <v>4E-05</v>
      </c>
      <c r="Y145" s="128">
        <f>$X$145*$K$145</f>
        <v>0.00534752</v>
      </c>
      <c r="Z145" s="128">
        <v>0</v>
      </c>
      <c r="AA145" s="129">
        <f>$Z$145*$K$145</f>
        <v>0</v>
      </c>
      <c r="AR145" s="6" t="s">
        <v>168</v>
      </c>
      <c r="AT145" s="6" t="s">
        <v>164</v>
      </c>
      <c r="AU145" s="6" t="s">
        <v>141</v>
      </c>
      <c r="AY145" s="6" t="s">
        <v>163</v>
      </c>
      <c r="BE145" s="82">
        <f>IF($U$145="základní",$N$145,0)</f>
        <v>0</v>
      </c>
      <c r="BF145" s="82">
        <f>IF($U$145="snížená",$N$145,0)</f>
        <v>0</v>
      </c>
      <c r="BG145" s="82">
        <f>IF($U$145="zákl. přenesená",$N$145,0)</f>
        <v>0</v>
      </c>
      <c r="BH145" s="82">
        <f>IF($U$145="sníž. přenesená",$N$145,0)</f>
        <v>0</v>
      </c>
      <c r="BI145" s="82">
        <f>IF($U$145="nulová",$N$145,0)</f>
        <v>0</v>
      </c>
      <c r="BJ145" s="6" t="s">
        <v>141</v>
      </c>
      <c r="BK145" s="82">
        <f>ROUND($L$145*$K$145,2)</f>
        <v>0</v>
      </c>
      <c r="BL145" s="6" t="s">
        <v>168</v>
      </c>
    </row>
    <row r="146" spans="2:64" s="6" customFormat="1" ht="27" customHeight="1">
      <c r="B146" s="21"/>
      <c r="C146" s="123" t="s">
        <v>201</v>
      </c>
      <c r="D146" s="123" t="s">
        <v>164</v>
      </c>
      <c r="E146" s="124" t="s">
        <v>202</v>
      </c>
      <c r="F146" s="205" t="s">
        <v>203</v>
      </c>
      <c r="G146" s="206"/>
      <c r="H146" s="206"/>
      <c r="I146" s="206"/>
      <c r="J146" s="125" t="s">
        <v>171</v>
      </c>
      <c r="K146" s="126">
        <v>1.618</v>
      </c>
      <c r="L146" s="207">
        <v>0</v>
      </c>
      <c r="M146" s="206"/>
      <c r="N146" s="208">
        <f>ROUND($L$146*$K$146,2)</f>
        <v>0</v>
      </c>
      <c r="O146" s="206"/>
      <c r="P146" s="206"/>
      <c r="Q146" s="206"/>
      <c r="R146" s="22"/>
      <c r="T146" s="127"/>
      <c r="U146" s="28" t="s">
        <v>42</v>
      </c>
      <c r="V146" s="128">
        <v>0.245</v>
      </c>
      <c r="W146" s="128">
        <f>$V$146*$K$146</f>
        <v>0.39641000000000004</v>
      </c>
      <c r="X146" s="128">
        <v>0</v>
      </c>
      <c r="Y146" s="128">
        <f>$X$146*$K$146</f>
        <v>0</v>
      </c>
      <c r="Z146" s="128">
        <v>0.131</v>
      </c>
      <c r="AA146" s="129">
        <f>$Z$146*$K$146</f>
        <v>0.21195800000000004</v>
      </c>
      <c r="AR146" s="6" t="s">
        <v>168</v>
      </c>
      <c r="AT146" s="6" t="s">
        <v>164</v>
      </c>
      <c r="AU146" s="6" t="s">
        <v>141</v>
      </c>
      <c r="AY146" s="6" t="s">
        <v>163</v>
      </c>
      <c r="BE146" s="82">
        <f>IF($U$146="základní",$N$146,0)</f>
        <v>0</v>
      </c>
      <c r="BF146" s="82">
        <f>IF($U$146="snížená",$N$146,0)</f>
        <v>0</v>
      </c>
      <c r="BG146" s="82">
        <f>IF($U$146="zákl. přenesená",$N$146,0)</f>
        <v>0</v>
      </c>
      <c r="BH146" s="82">
        <f>IF($U$146="sníž. přenesená",$N$146,0)</f>
        <v>0</v>
      </c>
      <c r="BI146" s="82">
        <f>IF($U$146="nulová",$N$146,0)</f>
        <v>0</v>
      </c>
      <c r="BJ146" s="6" t="s">
        <v>141</v>
      </c>
      <c r="BK146" s="82">
        <f>ROUND($L$146*$K$146,2)</f>
        <v>0</v>
      </c>
      <c r="BL146" s="6" t="s">
        <v>168</v>
      </c>
    </row>
    <row r="147" spans="2:51" s="6" customFormat="1" ht="15.75" customHeight="1">
      <c r="B147" s="130"/>
      <c r="E147" s="131"/>
      <c r="F147" s="209" t="s">
        <v>204</v>
      </c>
      <c r="G147" s="210"/>
      <c r="H147" s="210"/>
      <c r="I147" s="210"/>
      <c r="K147" s="132">
        <v>1.618</v>
      </c>
      <c r="R147" s="133"/>
      <c r="T147" s="134"/>
      <c r="AA147" s="135"/>
      <c r="AT147" s="131" t="s">
        <v>173</v>
      </c>
      <c r="AU147" s="131" t="s">
        <v>141</v>
      </c>
      <c r="AV147" s="131" t="s">
        <v>141</v>
      </c>
      <c r="AW147" s="131" t="s">
        <v>125</v>
      </c>
      <c r="AX147" s="131" t="s">
        <v>17</v>
      </c>
      <c r="AY147" s="131" t="s">
        <v>163</v>
      </c>
    </row>
    <row r="148" spans="2:64" s="6" customFormat="1" ht="27" customHeight="1">
      <c r="B148" s="21"/>
      <c r="C148" s="123" t="s">
        <v>205</v>
      </c>
      <c r="D148" s="123" t="s">
        <v>164</v>
      </c>
      <c r="E148" s="124" t="s">
        <v>206</v>
      </c>
      <c r="F148" s="205" t="s">
        <v>207</v>
      </c>
      <c r="G148" s="206"/>
      <c r="H148" s="206"/>
      <c r="I148" s="206"/>
      <c r="J148" s="125" t="s">
        <v>171</v>
      </c>
      <c r="K148" s="126">
        <v>2.561</v>
      </c>
      <c r="L148" s="207">
        <v>0</v>
      </c>
      <c r="M148" s="206"/>
      <c r="N148" s="208">
        <f>ROUND($L$148*$K$148,2)</f>
        <v>0</v>
      </c>
      <c r="O148" s="206"/>
      <c r="P148" s="206"/>
      <c r="Q148" s="206"/>
      <c r="R148" s="22"/>
      <c r="T148" s="127"/>
      <c r="U148" s="28" t="s">
        <v>42</v>
      </c>
      <c r="V148" s="128">
        <v>0.939</v>
      </c>
      <c r="W148" s="128">
        <f>$V$148*$K$148</f>
        <v>2.404779</v>
      </c>
      <c r="X148" s="128">
        <v>0</v>
      </c>
      <c r="Y148" s="128">
        <f>$X$148*$K$148</f>
        <v>0</v>
      </c>
      <c r="Z148" s="128">
        <v>0.076</v>
      </c>
      <c r="AA148" s="129">
        <f>$Z$148*$K$148</f>
        <v>0.194636</v>
      </c>
      <c r="AR148" s="6" t="s">
        <v>168</v>
      </c>
      <c r="AT148" s="6" t="s">
        <v>164</v>
      </c>
      <c r="AU148" s="6" t="s">
        <v>141</v>
      </c>
      <c r="AY148" s="6" t="s">
        <v>163</v>
      </c>
      <c r="BE148" s="82">
        <f>IF($U$148="základní",$N$148,0)</f>
        <v>0</v>
      </c>
      <c r="BF148" s="82">
        <f>IF($U$148="snížená",$N$148,0)</f>
        <v>0</v>
      </c>
      <c r="BG148" s="82">
        <f>IF($U$148="zákl. přenesená",$N$148,0)</f>
        <v>0</v>
      </c>
      <c r="BH148" s="82">
        <f>IF($U$148="sníž. přenesená",$N$148,0)</f>
        <v>0</v>
      </c>
      <c r="BI148" s="82">
        <f>IF($U$148="nulová",$N$148,0)</f>
        <v>0</v>
      </c>
      <c r="BJ148" s="6" t="s">
        <v>141</v>
      </c>
      <c r="BK148" s="82">
        <f>ROUND($L$148*$K$148,2)</f>
        <v>0</v>
      </c>
      <c r="BL148" s="6" t="s">
        <v>168</v>
      </c>
    </row>
    <row r="149" spans="2:51" s="6" customFormat="1" ht="15.75" customHeight="1">
      <c r="B149" s="130"/>
      <c r="E149" s="131"/>
      <c r="F149" s="209" t="s">
        <v>208</v>
      </c>
      <c r="G149" s="210"/>
      <c r="H149" s="210"/>
      <c r="I149" s="210"/>
      <c r="K149" s="132">
        <v>2.561</v>
      </c>
      <c r="R149" s="133"/>
      <c r="T149" s="134"/>
      <c r="AA149" s="135"/>
      <c r="AT149" s="131" t="s">
        <v>173</v>
      </c>
      <c r="AU149" s="131" t="s">
        <v>141</v>
      </c>
      <c r="AV149" s="131" t="s">
        <v>141</v>
      </c>
      <c r="AW149" s="131" t="s">
        <v>125</v>
      </c>
      <c r="AX149" s="131" t="s">
        <v>17</v>
      </c>
      <c r="AY149" s="131" t="s">
        <v>163</v>
      </c>
    </row>
    <row r="150" spans="2:64" s="6" customFormat="1" ht="27" customHeight="1">
      <c r="B150" s="21"/>
      <c r="C150" s="123" t="s">
        <v>209</v>
      </c>
      <c r="D150" s="123" t="s">
        <v>164</v>
      </c>
      <c r="E150" s="124" t="s">
        <v>210</v>
      </c>
      <c r="F150" s="205" t="s">
        <v>211</v>
      </c>
      <c r="G150" s="206"/>
      <c r="H150" s="206"/>
      <c r="I150" s="206"/>
      <c r="J150" s="125" t="s">
        <v>171</v>
      </c>
      <c r="K150" s="126">
        <v>2.758</v>
      </c>
      <c r="L150" s="207">
        <v>0</v>
      </c>
      <c r="M150" s="206"/>
      <c r="N150" s="208">
        <f>ROUND($L$150*$K$150,2)</f>
        <v>0</v>
      </c>
      <c r="O150" s="206"/>
      <c r="P150" s="206"/>
      <c r="Q150" s="206"/>
      <c r="R150" s="22"/>
      <c r="T150" s="127"/>
      <c r="U150" s="28" t="s">
        <v>42</v>
      </c>
      <c r="V150" s="128">
        <v>0.33</v>
      </c>
      <c r="W150" s="128">
        <f>$V$150*$K$150</f>
        <v>0.9101400000000001</v>
      </c>
      <c r="X150" s="128">
        <v>0</v>
      </c>
      <c r="Y150" s="128">
        <f>$X$150*$K$150</f>
        <v>0</v>
      </c>
      <c r="Z150" s="128">
        <v>0.18</v>
      </c>
      <c r="AA150" s="129">
        <f>$Z$150*$K$150</f>
        <v>0.49644</v>
      </c>
      <c r="AR150" s="6" t="s">
        <v>168</v>
      </c>
      <c r="AT150" s="6" t="s">
        <v>164</v>
      </c>
      <c r="AU150" s="6" t="s">
        <v>141</v>
      </c>
      <c r="AY150" s="6" t="s">
        <v>163</v>
      </c>
      <c r="BE150" s="82">
        <f>IF($U$150="základní",$N$150,0)</f>
        <v>0</v>
      </c>
      <c r="BF150" s="82">
        <f>IF($U$150="snížená",$N$150,0)</f>
        <v>0</v>
      </c>
      <c r="BG150" s="82">
        <f>IF($U$150="zákl. přenesená",$N$150,0)</f>
        <v>0</v>
      </c>
      <c r="BH150" s="82">
        <f>IF($U$150="sníž. přenesená",$N$150,0)</f>
        <v>0</v>
      </c>
      <c r="BI150" s="82">
        <f>IF($U$150="nulová",$N$150,0)</f>
        <v>0</v>
      </c>
      <c r="BJ150" s="6" t="s">
        <v>141</v>
      </c>
      <c r="BK150" s="82">
        <f>ROUND($L$150*$K$150,2)</f>
        <v>0</v>
      </c>
      <c r="BL150" s="6" t="s">
        <v>168</v>
      </c>
    </row>
    <row r="151" spans="2:51" s="6" customFormat="1" ht="15.75" customHeight="1">
      <c r="B151" s="130"/>
      <c r="E151" s="131"/>
      <c r="F151" s="209" t="s">
        <v>212</v>
      </c>
      <c r="G151" s="210"/>
      <c r="H151" s="210"/>
      <c r="I151" s="210"/>
      <c r="K151" s="132">
        <v>2.758</v>
      </c>
      <c r="R151" s="133"/>
      <c r="T151" s="134"/>
      <c r="AA151" s="135"/>
      <c r="AT151" s="131" t="s">
        <v>173</v>
      </c>
      <c r="AU151" s="131" t="s">
        <v>141</v>
      </c>
      <c r="AV151" s="131" t="s">
        <v>141</v>
      </c>
      <c r="AW151" s="131" t="s">
        <v>125</v>
      </c>
      <c r="AX151" s="131" t="s">
        <v>17</v>
      </c>
      <c r="AY151" s="131" t="s">
        <v>163</v>
      </c>
    </row>
    <row r="152" spans="2:63" s="113" customFormat="1" ht="23.25" customHeight="1">
      <c r="B152" s="114"/>
      <c r="D152" s="122" t="s">
        <v>130</v>
      </c>
      <c r="N152" s="223">
        <f>$BK$152</f>
        <v>0</v>
      </c>
      <c r="O152" s="222"/>
      <c r="P152" s="222"/>
      <c r="Q152" s="222"/>
      <c r="R152" s="117"/>
      <c r="T152" s="118"/>
      <c r="W152" s="119">
        <f>SUM($W$153:$W$158)</f>
        <v>0.584877</v>
      </c>
      <c r="Y152" s="119">
        <f>SUM($Y$153:$Y$158)</f>
        <v>0</v>
      </c>
      <c r="AA152" s="120">
        <f>SUM($AA$153:$AA$158)</f>
        <v>0</v>
      </c>
      <c r="AR152" s="116" t="s">
        <v>17</v>
      </c>
      <c r="AT152" s="116" t="s">
        <v>74</v>
      </c>
      <c r="AU152" s="116" t="s">
        <v>141</v>
      </c>
      <c r="AY152" s="116" t="s">
        <v>163</v>
      </c>
      <c r="BK152" s="121">
        <f>SUM($BK$153:$BK$158)</f>
        <v>0</v>
      </c>
    </row>
    <row r="153" spans="2:64" s="6" customFormat="1" ht="15.75" customHeight="1">
      <c r="B153" s="21"/>
      <c r="C153" s="123" t="s">
        <v>213</v>
      </c>
      <c r="D153" s="123" t="s">
        <v>164</v>
      </c>
      <c r="E153" s="124" t="s">
        <v>214</v>
      </c>
      <c r="F153" s="205" t="s">
        <v>215</v>
      </c>
      <c r="G153" s="206"/>
      <c r="H153" s="206"/>
      <c r="I153" s="206"/>
      <c r="J153" s="125" t="s">
        <v>216</v>
      </c>
      <c r="K153" s="126">
        <v>1.153</v>
      </c>
      <c r="L153" s="207">
        <v>0</v>
      </c>
      <c r="M153" s="206"/>
      <c r="N153" s="208">
        <f>ROUND($L$153*$K$153,2)</f>
        <v>0</v>
      </c>
      <c r="O153" s="206"/>
      <c r="P153" s="206"/>
      <c r="Q153" s="206"/>
      <c r="R153" s="22"/>
      <c r="T153" s="127"/>
      <c r="U153" s="28" t="s">
        <v>42</v>
      </c>
      <c r="V153" s="128">
        <v>0.136</v>
      </c>
      <c r="W153" s="128">
        <f>$V$153*$K$153</f>
        <v>0.156808</v>
      </c>
      <c r="X153" s="128">
        <v>0</v>
      </c>
      <c r="Y153" s="128">
        <f>$X$153*$K$153</f>
        <v>0</v>
      </c>
      <c r="Z153" s="128">
        <v>0</v>
      </c>
      <c r="AA153" s="129">
        <f>$Z$153*$K$153</f>
        <v>0</v>
      </c>
      <c r="AR153" s="6" t="s">
        <v>168</v>
      </c>
      <c r="AT153" s="6" t="s">
        <v>164</v>
      </c>
      <c r="AU153" s="6" t="s">
        <v>174</v>
      </c>
      <c r="AY153" s="6" t="s">
        <v>163</v>
      </c>
      <c r="BE153" s="82">
        <f>IF($U$153="základní",$N$153,0)</f>
        <v>0</v>
      </c>
      <c r="BF153" s="82">
        <f>IF($U$153="snížená",$N$153,0)</f>
        <v>0</v>
      </c>
      <c r="BG153" s="82">
        <f>IF($U$153="zákl. přenesená",$N$153,0)</f>
        <v>0</v>
      </c>
      <c r="BH153" s="82">
        <f>IF($U$153="sníž. přenesená",$N$153,0)</f>
        <v>0</v>
      </c>
      <c r="BI153" s="82">
        <f>IF($U$153="nulová",$N$153,0)</f>
        <v>0</v>
      </c>
      <c r="BJ153" s="6" t="s">
        <v>141</v>
      </c>
      <c r="BK153" s="82">
        <f>ROUND($L$153*$K$153,2)</f>
        <v>0</v>
      </c>
      <c r="BL153" s="6" t="s">
        <v>168</v>
      </c>
    </row>
    <row r="154" spans="2:64" s="6" customFormat="1" ht="27" customHeight="1">
      <c r="B154" s="21"/>
      <c r="C154" s="123" t="s">
        <v>8</v>
      </c>
      <c r="D154" s="123" t="s">
        <v>164</v>
      </c>
      <c r="E154" s="124" t="s">
        <v>217</v>
      </c>
      <c r="F154" s="205" t="s">
        <v>218</v>
      </c>
      <c r="G154" s="206"/>
      <c r="H154" s="206"/>
      <c r="I154" s="206"/>
      <c r="J154" s="125" t="s">
        <v>216</v>
      </c>
      <c r="K154" s="126">
        <v>1.153</v>
      </c>
      <c r="L154" s="207">
        <v>0</v>
      </c>
      <c r="M154" s="206"/>
      <c r="N154" s="208">
        <f>ROUND($L$154*$K$154,2)</f>
        <v>0</v>
      </c>
      <c r="O154" s="206"/>
      <c r="P154" s="206"/>
      <c r="Q154" s="206"/>
      <c r="R154" s="22"/>
      <c r="T154" s="127"/>
      <c r="U154" s="28" t="s">
        <v>42</v>
      </c>
      <c r="V154" s="128">
        <v>0.125</v>
      </c>
      <c r="W154" s="128">
        <f>$V$154*$K$154</f>
        <v>0.144125</v>
      </c>
      <c r="X154" s="128">
        <v>0</v>
      </c>
      <c r="Y154" s="128">
        <f>$X$154*$K$154</f>
        <v>0</v>
      </c>
      <c r="Z154" s="128">
        <v>0</v>
      </c>
      <c r="AA154" s="129">
        <f>$Z$154*$K$154</f>
        <v>0</v>
      </c>
      <c r="AR154" s="6" t="s">
        <v>168</v>
      </c>
      <c r="AT154" s="6" t="s">
        <v>164</v>
      </c>
      <c r="AU154" s="6" t="s">
        <v>174</v>
      </c>
      <c r="AY154" s="6" t="s">
        <v>163</v>
      </c>
      <c r="BE154" s="82">
        <f>IF($U$154="základní",$N$154,0)</f>
        <v>0</v>
      </c>
      <c r="BF154" s="82">
        <f>IF($U$154="snížená",$N$154,0)</f>
        <v>0</v>
      </c>
      <c r="BG154" s="82">
        <f>IF($U$154="zákl. přenesená",$N$154,0)</f>
        <v>0</v>
      </c>
      <c r="BH154" s="82">
        <f>IF($U$154="sníž. přenesená",$N$154,0)</f>
        <v>0</v>
      </c>
      <c r="BI154" s="82">
        <f>IF($U$154="nulová",$N$154,0)</f>
        <v>0</v>
      </c>
      <c r="BJ154" s="6" t="s">
        <v>141</v>
      </c>
      <c r="BK154" s="82">
        <f>ROUND($L$154*$K$154,2)</f>
        <v>0</v>
      </c>
      <c r="BL154" s="6" t="s">
        <v>168</v>
      </c>
    </row>
    <row r="155" spans="2:64" s="6" customFormat="1" ht="27" customHeight="1">
      <c r="B155" s="21"/>
      <c r="C155" s="123" t="s">
        <v>219</v>
      </c>
      <c r="D155" s="123" t="s">
        <v>164</v>
      </c>
      <c r="E155" s="124" t="s">
        <v>220</v>
      </c>
      <c r="F155" s="205" t="s">
        <v>221</v>
      </c>
      <c r="G155" s="206"/>
      <c r="H155" s="206"/>
      <c r="I155" s="206"/>
      <c r="J155" s="125" t="s">
        <v>216</v>
      </c>
      <c r="K155" s="126">
        <v>20.718</v>
      </c>
      <c r="L155" s="207">
        <v>0</v>
      </c>
      <c r="M155" s="206"/>
      <c r="N155" s="208">
        <f>ROUND($L$155*$K$155,2)</f>
        <v>0</v>
      </c>
      <c r="O155" s="206"/>
      <c r="P155" s="206"/>
      <c r="Q155" s="206"/>
      <c r="R155" s="22"/>
      <c r="T155" s="127"/>
      <c r="U155" s="28" t="s">
        <v>42</v>
      </c>
      <c r="V155" s="128">
        <v>0.006</v>
      </c>
      <c r="W155" s="128">
        <f>$V$155*$K$155</f>
        <v>0.124308</v>
      </c>
      <c r="X155" s="128">
        <v>0</v>
      </c>
      <c r="Y155" s="128">
        <f>$X$155*$K$155</f>
        <v>0</v>
      </c>
      <c r="Z155" s="128">
        <v>0</v>
      </c>
      <c r="AA155" s="129">
        <f>$Z$155*$K$155</f>
        <v>0</v>
      </c>
      <c r="AR155" s="6" t="s">
        <v>168</v>
      </c>
      <c r="AT155" s="6" t="s">
        <v>164</v>
      </c>
      <c r="AU155" s="6" t="s">
        <v>174</v>
      </c>
      <c r="AY155" s="6" t="s">
        <v>163</v>
      </c>
      <c r="BE155" s="82">
        <f>IF($U$155="základní",$N$155,0)</f>
        <v>0</v>
      </c>
      <c r="BF155" s="82">
        <f>IF($U$155="snížená",$N$155,0)</f>
        <v>0</v>
      </c>
      <c r="BG155" s="82">
        <f>IF($U$155="zákl. přenesená",$N$155,0)</f>
        <v>0</v>
      </c>
      <c r="BH155" s="82">
        <f>IF($U$155="sníž. přenesená",$N$155,0)</f>
        <v>0</v>
      </c>
      <c r="BI155" s="82">
        <f>IF($U$155="nulová",$N$155,0)</f>
        <v>0</v>
      </c>
      <c r="BJ155" s="6" t="s">
        <v>141</v>
      </c>
      <c r="BK155" s="82">
        <f>ROUND($L$155*$K$155,2)</f>
        <v>0</v>
      </c>
      <c r="BL155" s="6" t="s">
        <v>168</v>
      </c>
    </row>
    <row r="156" spans="2:51" s="6" customFormat="1" ht="15.75" customHeight="1">
      <c r="B156" s="130"/>
      <c r="E156" s="131"/>
      <c r="F156" s="209" t="s">
        <v>222</v>
      </c>
      <c r="G156" s="210"/>
      <c r="H156" s="210"/>
      <c r="I156" s="210"/>
      <c r="K156" s="132">
        <v>20.718</v>
      </c>
      <c r="R156" s="133"/>
      <c r="T156" s="134"/>
      <c r="AA156" s="135"/>
      <c r="AT156" s="131" t="s">
        <v>173</v>
      </c>
      <c r="AU156" s="131" t="s">
        <v>174</v>
      </c>
      <c r="AV156" s="131" t="s">
        <v>141</v>
      </c>
      <c r="AW156" s="131" t="s">
        <v>125</v>
      </c>
      <c r="AX156" s="131" t="s">
        <v>17</v>
      </c>
      <c r="AY156" s="131" t="s">
        <v>163</v>
      </c>
    </row>
    <row r="157" spans="2:64" s="6" customFormat="1" ht="27" customHeight="1">
      <c r="B157" s="21"/>
      <c r="C157" s="123" t="s">
        <v>223</v>
      </c>
      <c r="D157" s="123" t="s">
        <v>164</v>
      </c>
      <c r="E157" s="124" t="s">
        <v>224</v>
      </c>
      <c r="F157" s="205" t="s">
        <v>225</v>
      </c>
      <c r="G157" s="206"/>
      <c r="H157" s="206"/>
      <c r="I157" s="206"/>
      <c r="J157" s="125" t="s">
        <v>216</v>
      </c>
      <c r="K157" s="126">
        <v>1.153</v>
      </c>
      <c r="L157" s="207">
        <v>0</v>
      </c>
      <c r="M157" s="206"/>
      <c r="N157" s="208">
        <f>ROUND($L$157*$K$157,2)</f>
        <v>0</v>
      </c>
      <c r="O157" s="206"/>
      <c r="P157" s="206"/>
      <c r="Q157" s="206"/>
      <c r="R157" s="22"/>
      <c r="T157" s="127"/>
      <c r="U157" s="28" t="s">
        <v>42</v>
      </c>
      <c r="V157" s="128">
        <v>0</v>
      </c>
      <c r="W157" s="128">
        <f>$V$157*$K$157</f>
        <v>0</v>
      </c>
      <c r="X157" s="128">
        <v>0</v>
      </c>
      <c r="Y157" s="128">
        <f>$X$157*$K$157</f>
        <v>0</v>
      </c>
      <c r="Z157" s="128">
        <v>0</v>
      </c>
      <c r="AA157" s="129">
        <f>$Z$157*$K$157</f>
        <v>0</v>
      </c>
      <c r="AR157" s="6" t="s">
        <v>168</v>
      </c>
      <c r="AT157" s="6" t="s">
        <v>164</v>
      </c>
      <c r="AU157" s="6" t="s">
        <v>174</v>
      </c>
      <c r="AY157" s="6" t="s">
        <v>163</v>
      </c>
      <c r="BE157" s="82">
        <f>IF($U$157="základní",$N$157,0)</f>
        <v>0</v>
      </c>
      <c r="BF157" s="82">
        <f>IF($U$157="snížená",$N$157,0)</f>
        <v>0</v>
      </c>
      <c r="BG157" s="82">
        <f>IF($U$157="zákl. přenesená",$N$157,0)</f>
        <v>0</v>
      </c>
      <c r="BH157" s="82">
        <f>IF($U$157="sníž. přenesená",$N$157,0)</f>
        <v>0</v>
      </c>
      <c r="BI157" s="82">
        <f>IF($U$157="nulová",$N$157,0)</f>
        <v>0</v>
      </c>
      <c r="BJ157" s="6" t="s">
        <v>141</v>
      </c>
      <c r="BK157" s="82">
        <f>ROUND($L$157*$K$157,2)</f>
        <v>0</v>
      </c>
      <c r="BL157" s="6" t="s">
        <v>168</v>
      </c>
    </row>
    <row r="158" spans="2:64" s="6" customFormat="1" ht="15.75" customHeight="1">
      <c r="B158" s="21"/>
      <c r="C158" s="123" t="s">
        <v>226</v>
      </c>
      <c r="D158" s="123" t="s">
        <v>164</v>
      </c>
      <c r="E158" s="124" t="s">
        <v>227</v>
      </c>
      <c r="F158" s="205" t="s">
        <v>228</v>
      </c>
      <c r="G158" s="206"/>
      <c r="H158" s="206"/>
      <c r="I158" s="206"/>
      <c r="J158" s="125" t="s">
        <v>216</v>
      </c>
      <c r="K158" s="126">
        <v>0.502</v>
      </c>
      <c r="L158" s="207">
        <v>0</v>
      </c>
      <c r="M158" s="206"/>
      <c r="N158" s="208">
        <f>ROUND($L$158*$K$158,2)</f>
        <v>0</v>
      </c>
      <c r="O158" s="206"/>
      <c r="P158" s="206"/>
      <c r="Q158" s="206"/>
      <c r="R158" s="22"/>
      <c r="T158" s="127"/>
      <c r="U158" s="28" t="s">
        <v>42</v>
      </c>
      <c r="V158" s="128">
        <v>0.318</v>
      </c>
      <c r="W158" s="128">
        <f>$V$158*$K$158</f>
        <v>0.159636</v>
      </c>
      <c r="X158" s="128">
        <v>0</v>
      </c>
      <c r="Y158" s="128">
        <f>$X$158*$K$158</f>
        <v>0</v>
      </c>
      <c r="Z158" s="128">
        <v>0</v>
      </c>
      <c r="AA158" s="129">
        <f>$Z$158*$K$158</f>
        <v>0</v>
      </c>
      <c r="AR158" s="6" t="s">
        <v>168</v>
      </c>
      <c r="AT158" s="6" t="s">
        <v>164</v>
      </c>
      <c r="AU158" s="6" t="s">
        <v>174</v>
      </c>
      <c r="AY158" s="6" t="s">
        <v>163</v>
      </c>
      <c r="BE158" s="82">
        <f>IF($U$158="základní",$N$158,0)</f>
        <v>0</v>
      </c>
      <c r="BF158" s="82">
        <f>IF($U$158="snížená",$N$158,0)</f>
        <v>0</v>
      </c>
      <c r="BG158" s="82">
        <f>IF($U$158="zákl. přenesená",$N$158,0)</f>
        <v>0</v>
      </c>
      <c r="BH158" s="82">
        <f>IF($U$158="sníž. přenesená",$N$158,0)</f>
        <v>0</v>
      </c>
      <c r="BI158" s="82">
        <f>IF($U$158="nulová",$N$158,0)</f>
        <v>0</v>
      </c>
      <c r="BJ158" s="6" t="s">
        <v>141</v>
      </c>
      <c r="BK158" s="82">
        <f>ROUND($L$158*$K$158,2)</f>
        <v>0</v>
      </c>
      <c r="BL158" s="6" t="s">
        <v>168</v>
      </c>
    </row>
    <row r="159" spans="2:63" s="113" customFormat="1" ht="37.5" customHeight="1">
      <c r="B159" s="114"/>
      <c r="D159" s="115" t="s">
        <v>131</v>
      </c>
      <c r="N159" s="201">
        <f>$BK$159</f>
        <v>0</v>
      </c>
      <c r="O159" s="222"/>
      <c r="P159" s="222"/>
      <c r="Q159" s="222"/>
      <c r="R159" s="117"/>
      <c r="T159" s="118"/>
      <c r="W159" s="119">
        <f>$W$160+$W$165+$W$171+$W$178+$W$187</f>
        <v>112.599264</v>
      </c>
      <c r="Y159" s="119">
        <f>$Y$160+$Y$165+$Y$171+$Y$178+$Y$187</f>
        <v>0.286222535</v>
      </c>
      <c r="AA159" s="120">
        <f>$AA$160+$AA$165+$AA$171+$AA$178+$AA$187</f>
        <v>0.2500072</v>
      </c>
      <c r="AR159" s="116" t="s">
        <v>141</v>
      </c>
      <c r="AT159" s="116" t="s">
        <v>74</v>
      </c>
      <c r="AU159" s="116" t="s">
        <v>75</v>
      </c>
      <c r="AY159" s="116" t="s">
        <v>163</v>
      </c>
      <c r="BK159" s="121">
        <f>$BK$160+$BK$165+$BK$171+$BK$178+$BK$187</f>
        <v>0</v>
      </c>
    </row>
    <row r="160" spans="2:63" s="113" customFormat="1" ht="21" customHeight="1">
      <c r="B160" s="114"/>
      <c r="D160" s="122" t="s">
        <v>132</v>
      </c>
      <c r="N160" s="223">
        <f>$BK$160</f>
        <v>0</v>
      </c>
      <c r="O160" s="222"/>
      <c r="P160" s="222"/>
      <c r="Q160" s="222"/>
      <c r="R160" s="117"/>
      <c r="T160" s="118"/>
      <c r="W160" s="119">
        <f>SUM($W$161:$W$164)</f>
        <v>1.015</v>
      </c>
      <c r="Y160" s="119">
        <f>SUM($Y$161:$Y$164)</f>
        <v>0</v>
      </c>
      <c r="AA160" s="120">
        <f>SUM($AA$161:$AA$164)</f>
        <v>0</v>
      </c>
      <c r="AR160" s="116" t="s">
        <v>141</v>
      </c>
      <c r="AT160" s="116" t="s">
        <v>74</v>
      </c>
      <c r="AU160" s="116" t="s">
        <v>17</v>
      </c>
      <c r="AY160" s="116" t="s">
        <v>163</v>
      </c>
      <c r="BK160" s="121">
        <f>SUM($BK$161:$BK$164)</f>
        <v>0</v>
      </c>
    </row>
    <row r="161" spans="2:64" s="6" customFormat="1" ht="27" customHeight="1">
      <c r="B161" s="21"/>
      <c r="C161" s="123" t="s">
        <v>229</v>
      </c>
      <c r="D161" s="123" t="s">
        <v>164</v>
      </c>
      <c r="E161" s="124" t="s">
        <v>230</v>
      </c>
      <c r="F161" s="205" t="s">
        <v>231</v>
      </c>
      <c r="G161" s="206"/>
      <c r="H161" s="206"/>
      <c r="I161" s="206"/>
      <c r="J161" s="125" t="s">
        <v>167</v>
      </c>
      <c r="K161" s="126">
        <v>1</v>
      </c>
      <c r="L161" s="207">
        <v>0</v>
      </c>
      <c r="M161" s="206"/>
      <c r="N161" s="208">
        <f>ROUND($L$161*$K$161,2)</f>
        <v>0</v>
      </c>
      <c r="O161" s="206"/>
      <c r="P161" s="206"/>
      <c r="Q161" s="206"/>
      <c r="R161" s="22"/>
      <c r="T161" s="127"/>
      <c r="U161" s="28" t="s">
        <v>42</v>
      </c>
      <c r="V161" s="128">
        <v>0.165</v>
      </c>
      <c r="W161" s="128">
        <f>$V$161*$K$161</f>
        <v>0.165</v>
      </c>
      <c r="X161" s="128">
        <v>0</v>
      </c>
      <c r="Y161" s="128">
        <f>$X$161*$K$161</f>
        <v>0</v>
      </c>
      <c r="Z161" s="128">
        <v>0</v>
      </c>
      <c r="AA161" s="129">
        <f>$Z$161*$K$161</f>
        <v>0</v>
      </c>
      <c r="AR161" s="6" t="s">
        <v>219</v>
      </c>
      <c r="AT161" s="6" t="s">
        <v>164</v>
      </c>
      <c r="AU161" s="6" t="s">
        <v>141</v>
      </c>
      <c r="AY161" s="6" t="s">
        <v>163</v>
      </c>
      <c r="BE161" s="82">
        <f>IF($U$161="základní",$N$161,0)</f>
        <v>0</v>
      </c>
      <c r="BF161" s="82">
        <f>IF($U$161="snížená",$N$161,0)</f>
        <v>0</v>
      </c>
      <c r="BG161" s="82">
        <f>IF($U$161="zákl. přenesená",$N$161,0)</f>
        <v>0</v>
      </c>
      <c r="BH161" s="82">
        <f>IF($U$161="sníž. přenesená",$N$161,0)</f>
        <v>0</v>
      </c>
      <c r="BI161" s="82">
        <f>IF($U$161="nulová",$N$161,0)</f>
        <v>0</v>
      </c>
      <c r="BJ161" s="6" t="s">
        <v>141</v>
      </c>
      <c r="BK161" s="82">
        <f>ROUND($L$161*$K$161,2)</f>
        <v>0</v>
      </c>
      <c r="BL161" s="6" t="s">
        <v>219</v>
      </c>
    </row>
    <row r="162" spans="2:64" s="6" customFormat="1" ht="15.75" customHeight="1">
      <c r="B162" s="21"/>
      <c r="C162" s="123" t="s">
        <v>232</v>
      </c>
      <c r="D162" s="123" t="s">
        <v>164</v>
      </c>
      <c r="E162" s="124" t="s">
        <v>233</v>
      </c>
      <c r="F162" s="205" t="s">
        <v>234</v>
      </c>
      <c r="G162" s="206"/>
      <c r="H162" s="206"/>
      <c r="I162" s="206"/>
      <c r="J162" s="125" t="s">
        <v>167</v>
      </c>
      <c r="K162" s="126">
        <v>1</v>
      </c>
      <c r="L162" s="207">
        <v>0</v>
      </c>
      <c r="M162" s="206"/>
      <c r="N162" s="208">
        <f>ROUND($L$162*$K$162,2)</f>
        <v>0</v>
      </c>
      <c r="O162" s="206"/>
      <c r="P162" s="206"/>
      <c r="Q162" s="206"/>
      <c r="R162" s="22"/>
      <c r="T162" s="127"/>
      <c r="U162" s="28" t="s">
        <v>42</v>
      </c>
      <c r="V162" s="128">
        <v>0.425</v>
      </c>
      <c r="W162" s="128">
        <f>$V$162*$K$162</f>
        <v>0.425</v>
      </c>
      <c r="X162" s="128">
        <v>0</v>
      </c>
      <c r="Y162" s="128">
        <f>$X$162*$K$162</f>
        <v>0</v>
      </c>
      <c r="Z162" s="128">
        <v>0</v>
      </c>
      <c r="AA162" s="129">
        <f>$Z$162*$K$162</f>
        <v>0</v>
      </c>
      <c r="AR162" s="6" t="s">
        <v>219</v>
      </c>
      <c r="AT162" s="6" t="s">
        <v>164</v>
      </c>
      <c r="AU162" s="6" t="s">
        <v>141</v>
      </c>
      <c r="AY162" s="6" t="s">
        <v>163</v>
      </c>
      <c r="BE162" s="82">
        <f>IF($U$162="základní",$N$162,0)</f>
        <v>0</v>
      </c>
      <c r="BF162" s="82">
        <f>IF($U$162="snížená",$N$162,0)</f>
        <v>0</v>
      </c>
      <c r="BG162" s="82">
        <f>IF($U$162="zákl. přenesená",$N$162,0)</f>
        <v>0</v>
      </c>
      <c r="BH162" s="82">
        <f>IF($U$162="sníž. přenesená",$N$162,0)</f>
        <v>0</v>
      </c>
      <c r="BI162" s="82">
        <f>IF($U$162="nulová",$N$162,0)</f>
        <v>0</v>
      </c>
      <c r="BJ162" s="6" t="s">
        <v>141</v>
      </c>
      <c r="BK162" s="82">
        <f>ROUND($L$162*$K$162,2)</f>
        <v>0</v>
      </c>
      <c r="BL162" s="6" t="s">
        <v>219</v>
      </c>
    </row>
    <row r="163" spans="2:64" s="6" customFormat="1" ht="15.75" customHeight="1">
      <c r="B163" s="21"/>
      <c r="C163" s="123" t="s">
        <v>7</v>
      </c>
      <c r="D163" s="123" t="s">
        <v>164</v>
      </c>
      <c r="E163" s="124" t="s">
        <v>235</v>
      </c>
      <c r="F163" s="205" t="s">
        <v>236</v>
      </c>
      <c r="G163" s="206"/>
      <c r="H163" s="206"/>
      <c r="I163" s="206"/>
      <c r="J163" s="125" t="s">
        <v>167</v>
      </c>
      <c r="K163" s="126">
        <v>1</v>
      </c>
      <c r="L163" s="207">
        <v>0</v>
      </c>
      <c r="M163" s="206"/>
      <c r="N163" s="208">
        <f>ROUND($L$163*$K$163,2)</f>
        <v>0</v>
      </c>
      <c r="O163" s="206"/>
      <c r="P163" s="206"/>
      <c r="Q163" s="206"/>
      <c r="R163" s="22"/>
      <c r="T163" s="127"/>
      <c r="U163" s="28" t="s">
        <v>42</v>
      </c>
      <c r="V163" s="128">
        <v>0.425</v>
      </c>
      <c r="W163" s="128">
        <f>$V$163*$K$163</f>
        <v>0.425</v>
      </c>
      <c r="X163" s="128">
        <v>0</v>
      </c>
      <c r="Y163" s="128">
        <f>$X$163*$K$163</f>
        <v>0</v>
      </c>
      <c r="Z163" s="128">
        <v>0</v>
      </c>
      <c r="AA163" s="129">
        <f>$Z$163*$K$163</f>
        <v>0</v>
      </c>
      <c r="AR163" s="6" t="s">
        <v>219</v>
      </c>
      <c r="AT163" s="6" t="s">
        <v>164</v>
      </c>
      <c r="AU163" s="6" t="s">
        <v>141</v>
      </c>
      <c r="AY163" s="6" t="s">
        <v>163</v>
      </c>
      <c r="BE163" s="82">
        <f>IF($U$163="základní",$N$163,0)</f>
        <v>0</v>
      </c>
      <c r="BF163" s="82">
        <f>IF($U$163="snížená",$N$163,0)</f>
        <v>0</v>
      </c>
      <c r="BG163" s="82">
        <f>IF($U$163="zákl. přenesená",$N$163,0)</f>
        <v>0</v>
      </c>
      <c r="BH163" s="82">
        <f>IF($U$163="sníž. přenesená",$N$163,0)</f>
        <v>0</v>
      </c>
      <c r="BI163" s="82">
        <f>IF($U$163="nulová",$N$163,0)</f>
        <v>0</v>
      </c>
      <c r="BJ163" s="6" t="s">
        <v>141</v>
      </c>
      <c r="BK163" s="82">
        <f>ROUND($L$163*$K$163,2)</f>
        <v>0</v>
      </c>
      <c r="BL163" s="6" t="s">
        <v>219</v>
      </c>
    </row>
    <row r="164" spans="2:64" s="6" customFormat="1" ht="27" customHeight="1">
      <c r="B164" s="21"/>
      <c r="C164" s="123" t="s">
        <v>237</v>
      </c>
      <c r="D164" s="123" t="s">
        <v>164</v>
      </c>
      <c r="E164" s="124" t="s">
        <v>238</v>
      </c>
      <c r="F164" s="205" t="s">
        <v>239</v>
      </c>
      <c r="G164" s="206"/>
      <c r="H164" s="206"/>
      <c r="I164" s="206"/>
      <c r="J164" s="125" t="s">
        <v>240</v>
      </c>
      <c r="K164" s="140">
        <v>0</v>
      </c>
      <c r="L164" s="207">
        <v>0</v>
      </c>
      <c r="M164" s="206"/>
      <c r="N164" s="208">
        <f>ROUND($L$164*$K$164,2)</f>
        <v>0</v>
      </c>
      <c r="O164" s="206"/>
      <c r="P164" s="206"/>
      <c r="Q164" s="206"/>
      <c r="R164" s="22"/>
      <c r="T164" s="127"/>
      <c r="U164" s="28" t="s">
        <v>42</v>
      </c>
      <c r="V164" s="128">
        <v>0</v>
      </c>
      <c r="W164" s="128">
        <f>$V$164*$K$164</f>
        <v>0</v>
      </c>
      <c r="X164" s="128">
        <v>0</v>
      </c>
      <c r="Y164" s="128">
        <f>$X$164*$K$164</f>
        <v>0</v>
      </c>
      <c r="Z164" s="128">
        <v>0</v>
      </c>
      <c r="AA164" s="129">
        <f>$Z$164*$K$164</f>
        <v>0</v>
      </c>
      <c r="AR164" s="6" t="s">
        <v>219</v>
      </c>
      <c r="AT164" s="6" t="s">
        <v>164</v>
      </c>
      <c r="AU164" s="6" t="s">
        <v>141</v>
      </c>
      <c r="AY164" s="6" t="s">
        <v>163</v>
      </c>
      <c r="BE164" s="82">
        <f>IF($U$164="základní",$N$164,0)</f>
        <v>0</v>
      </c>
      <c r="BF164" s="82">
        <f>IF($U$164="snížená",$N$164,0)</f>
        <v>0</v>
      </c>
      <c r="BG164" s="82">
        <f>IF($U$164="zákl. přenesená",$N$164,0)</f>
        <v>0</v>
      </c>
      <c r="BH164" s="82">
        <f>IF($U$164="sníž. přenesená",$N$164,0)</f>
        <v>0</v>
      </c>
      <c r="BI164" s="82">
        <f>IF($U$164="nulová",$N$164,0)</f>
        <v>0</v>
      </c>
      <c r="BJ164" s="6" t="s">
        <v>141</v>
      </c>
      <c r="BK164" s="82">
        <f>ROUND($L$164*$K$164,2)</f>
        <v>0</v>
      </c>
      <c r="BL164" s="6" t="s">
        <v>219</v>
      </c>
    </row>
    <row r="165" spans="2:63" s="113" customFormat="1" ht="30.75" customHeight="1">
      <c r="B165" s="114"/>
      <c r="D165" s="122" t="s">
        <v>133</v>
      </c>
      <c r="N165" s="223">
        <f>$BK$165</f>
        <v>0</v>
      </c>
      <c r="O165" s="222"/>
      <c r="P165" s="222"/>
      <c r="Q165" s="222"/>
      <c r="R165" s="117"/>
      <c r="T165" s="118"/>
      <c r="W165" s="119">
        <f>SUM($W$166:$W$170)</f>
        <v>1.165</v>
      </c>
      <c r="Y165" s="119">
        <f>SUM($Y$166:$Y$170)</f>
        <v>0</v>
      </c>
      <c r="AA165" s="120">
        <f>SUM($AA$166:$AA$170)</f>
        <v>0.0412</v>
      </c>
      <c r="AR165" s="116" t="s">
        <v>141</v>
      </c>
      <c r="AT165" s="116" t="s">
        <v>74</v>
      </c>
      <c r="AU165" s="116" t="s">
        <v>17</v>
      </c>
      <c r="AY165" s="116" t="s">
        <v>163</v>
      </c>
      <c r="BK165" s="121">
        <f>SUM($BK$166:$BK$170)</f>
        <v>0</v>
      </c>
    </row>
    <row r="166" spans="2:64" s="6" customFormat="1" ht="15.75" customHeight="1">
      <c r="B166" s="21"/>
      <c r="C166" s="123" t="s">
        <v>241</v>
      </c>
      <c r="D166" s="123" t="s">
        <v>164</v>
      </c>
      <c r="E166" s="124" t="s">
        <v>242</v>
      </c>
      <c r="F166" s="205" t="s">
        <v>243</v>
      </c>
      <c r="G166" s="206"/>
      <c r="H166" s="206"/>
      <c r="I166" s="206"/>
      <c r="J166" s="125" t="s">
        <v>244</v>
      </c>
      <c r="K166" s="126">
        <v>1</v>
      </c>
      <c r="L166" s="207">
        <v>0</v>
      </c>
      <c r="M166" s="206"/>
      <c r="N166" s="208">
        <f>ROUND($L$166*$K$166,2)</f>
        <v>0</v>
      </c>
      <c r="O166" s="206"/>
      <c r="P166" s="206"/>
      <c r="Q166" s="206"/>
      <c r="R166" s="22"/>
      <c r="T166" s="127"/>
      <c r="U166" s="28" t="s">
        <v>42</v>
      </c>
      <c r="V166" s="128">
        <v>0.548</v>
      </c>
      <c r="W166" s="128">
        <f>$V$166*$K$166</f>
        <v>0.548</v>
      </c>
      <c r="X166" s="128">
        <v>0</v>
      </c>
      <c r="Y166" s="128">
        <f>$X$166*$K$166</f>
        <v>0</v>
      </c>
      <c r="Z166" s="128">
        <v>0.01933</v>
      </c>
      <c r="AA166" s="129">
        <f>$Z$166*$K$166</f>
        <v>0.01933</v>
      </c>
      <c r="AR166" s="6" t="s">
        <v>219</v>
      </c>
      <c r="AT166" s="6" t="s">
        <v>164</v>
      </c>
      <c r="AU166" s="6" t="s">
        <v>141</v>
      </c>
      <c r="AY166" s="6" t="s">
        <v>163</v>
      </c>
      <c r="BE166" s="82">
        <f>IF($U$166="základní",$N$166,0)</f>
        <v>0</v>
      </c>
      <c r="BF166" s="82">
        <f>IF($U$166="snížená",$N$166,0)</f>
        <v>0</v>
      </c>
      <c r="BG166" s="82">
        <f>IF($U$166="zákl. přenesená",$N$166,0)</f>
        <v>0</v>
      </c>
      <c r="BH166" s="82">
        <f>IF($U$166="sníž. přenesená",$N$166,0)</f>
        <v>0</v>
      </c>
      <c r="BI166" s="82">
        <f>IF($U$166="nulová",$N$166,0)</f>
        <v>0</v>
      </c>
      <c r="BJ166" s="6" t="s">
        <v>141</v>
      </c>
      <c r="BK166" s="82">
        <f>ROUND($L$166*$K$166,2)</f>
        <v>0</v>
      </c>
      <c r="BL166" s="6" t="s">
        <v>219</v>
      </c>
    </row>
    <row r="167" spans="2:64" s="6" customFormat="1" ht="15.75" customHeight="1">
      <c r="B167" s="21"/>
      <c r="C167" s="123" t="s">
        <v>245</v>
      </c>
      <c r="D167" s="123" t="s">
        <v>164</v>
      </c>
      <c r="E167" s="124" t="s">
        <v>246</v>
      </c>
      <c r="F167" s="205" t="s">
        <v>247</v>
      </c>
      <c r="G167" s="206"/>
      <c r="H167" s="206"/>
      <c r="I167" s="206"/>
      <c r="J167" s="125" t="s">
        <v>244</v>
      </c>
      <c r="K167" s="126">
        <v>1</v>
      </c>
      <c r="L167" s="207">
        <v>0</v>
      </c>
      <c r="M167" s="206"/>
      <c r="N167" s="208">
        <f>ROUND($L$167*$K$167,2)</f>
        <v>0</v>
      </c>
      <c r="O167" s="206"/>
      <c r="P167" s="206"/>
      <c r="Q167" s="206"/>
      <c r="R167" s="22"/>
      <c r="T167" s="127"/>
      <c r="U167" s="28" t="s">
        <v>42</v>
      </c>
      <c r="V167" s="128">
        <v>0.362</v>
      </c>
      <c r="W167" s="128">
        <f>$V$167*$K$167</f>
        <v>0.362</v>
      </c>
      <c r="X167" s="128">
        <v>0</v>
      </c>
      <c r="Y167" s="128">
        <f>$X$167*$K$167</f>
        <v>0</v>
      </c>
      <c r="Z167" s="128">
        <v>0.01946</v>
      </c>
      <c r="AA167" s="129">
        <f>$Z$167*$K$167</f>
        <v>0.01946</v>
      </c>
      <c r="AR167" s="6" t="s">
        <v>219</v>
      </c>
      <c r="AT167" s="6" t="s">
        <v>164</v>
      </c>
      <c r="AU167" s="6" t="s">
        <v>141</v>
      </c>
      <c r="AY167" s="6" t="s">
        <v>163</v>
      </c>
      <c r="BE167" s="82">
        <f>IF($U$167="základní",$N$167,0)</f>
        <v>0</v>
      </c>
      <c r="BF167" s="82">
        <f>IF($U$167="snížená",$N$167,0)</f>
        <v>0</v>
      </c>
      <c r="BG167" s="82">
        <f>IF($U$167="zákl. přenesená",$N$167,0)</f>
        <v>0</v>
      </c>
      <c r="BH167" s="82">
        <f>IF($U$167="sníž. přenesená",$N$167,0)</f>
        <v>0</v>
      </c>
      <c r="BI167" s="82">
        <f>IF($U$167="nulová",$N$167,0)</f>
        <v>0</v>
      </c>
      <c r="BJ167" s="6" t="s">
        <v>141</v>
      </c>
      <c r="BK167" s="82">
        <f>ROUND($L$167*$K$167,2)</f>
        <v>0</v>
      </c>
      <c r="BL167" s="6" t="s">
        <v>219</v>
      </c>
    </row>
    <row r="168" spans="2:64" s="6" customFormat="1" ht="15.75" customHeight="1">
      <c r="B168" s="21"/>
      <c r="C168" s="123" t="s">
        <v>248</v>
      </c>
      <c r="D168" s="123" t="s">
        <v>164</v>
      </c>
      <c r="E168" s="124" t="s">
        <v>249</v>
      </c>
      <c r="F168" s="205" t="s">
        <v>250</v>
      </c>
      <c r="G168" s="206"/>
      <c r="H168" s="206"/>
      <c r="I168" s="206"/>
      <c r="J168" s="125" t="s">
        <v>244</v>
      </c>
      <c r="K168" s="126">
        <v>1</v>
      </c>
      <c r="L168" s="207">
        <v>0</v>
      </c>
      <c r="M168" s="206"/>
      <c r="N168" s="208">
        <f>ROUND($L$168*$K$168,2)</f>
        <v>0</v>
      </c>
      <c r="O168" s="206"/>
      <c r="P168" s="206"/>
      <c r="Q168" s="206"/>
      <c r="R168" s="22"/>
      <c r="T168" s="127"/>
      <c r="U168" s="28" t="s">
        <v>42</v>
      </c>
      <c r="V168" s="128">
        <v>0.217</v>
      </c>
      <c r="W168" s="128">
        <f>$V$168*$K$168</f>
        <v>0.217</v>
      </c>
      <c r="X168" s="128">
        <v>0</v>
      </c>
      <c r="Y168" s="128">
        <f>$X$168*$K$168</f>
        <v>0</v>
      </c>
      <c r="Z168" s="128">
        <v>0.00156</v>
      </c>
      <c r="AA168" s="129">
        <f>$Z$168*$K$168</f>
        <v>0.00156</v>
      </c>
      <c r="AR168" s="6" t="s">
        <v>219</v>
      </c>
      <c r="AT168" s="6" t="s">
        <v>164</v>
      </c>
      <c r="AU168" s="6" t="s">
        <v>141</v>
      </c>
      <c r="AY168" s="6" t="s">
        <v>163</v>
      </c>
      <c r="BE168" s="82">
        <f>IF($U$168="základní",$N$168,0)</f>
        <v>0</v>
      </c>
      <c r="BF168" s="82">
        <f>IF($U$168="snížená",$N$168,0)</f>
        <v>0</v>
      </c>
      <c r="BG168" s="82">
        <f>IF($U$168="zákl. přenesená",$N$168,0)</f>
        <v>0</v>
      </c>
      <c r="BH168" s="82">
        <f>IF($U$168="sníž. přenesená",$N$168,0)</f>
        <v>0</v>
      </c>
      <c r="BI168" s="82">
        <f>IF($U$168="nulová",$N$168,0)</f>
        <v>0</v>
      </c>
      <c r="BJ168" s="6" t="s">
        <v>141</v>
      </c>
      <c r="BK168" s="82">
        <f>ROUND($L$168*$K$168,2)</f>
        <v>0</v>
      </c>
      <c r="BL168" s="6" t="s">
        <v>219</v>
      </c>
    </row>
    <row r="169" spans="2:64" s="6" customFormat="1" ht="15.75" customHeight="1">
      <c r="B169" s="21"/>
      <c r="C169" s="123" t="s">
        <v>251</v>
      </c>
      <c r="D169" s="123" t="s">
        <v>164</v>
      </c>
      <c r="E169" s="124" t="s">
        <v>252</v>
      </c>
      <c r="F169" s="205" t="s">
        <v>253</v>
      </c>
      <c r="G169" s="206"/>
      <c r="H169" s="206"/>
      <c r="I169" s="206"/>
      <c r="J169" s="125" t="s">
        <v>167</v>
      </c>
      <c r="K169" s="126">
        <v>1</v>
      </c>
      <c r="L169" s="207">
        <v>0</v>
      </c>
      <c r="M169" s="206"/>
      <c r="N169" s="208">
        <f>ROUND($L$169*$K$169,2)</f>
        <v>0</v>
      </c>
      <c r="O169" s="206"/>
      <c r="P169" s="206"/>
      <c r="Q169" s="206"/>
      <c r="R169" s="22"/>
      <c r="T169" s="127"/>
      <c r="U169" s="28" t="s">
        <v>42</v>
      </c>
      <c r="V169" s="128">
        <v>0.038</v>
      </c>
      <c r="W169" s="128">
        <f>$V$169*$K$169</f>
        <v>0.038</v>
      </c>
      <c r="X169" s="128">
        <v>0</v>
      </c>
      <c r="Y169" s="128">
        <f>$X$169*$K$169</f>
        <v>0</v>
      </c>
      <c r="Z169" s="128">
        <v>0.00085</v>
      </c>
      <c r="AA169" s="129">
        <f>$Z$169*$K$169</f>
        <v>0.00085</v>
      </c>
      <c r="AR169" s="6" t="s">
        <v>219</v>
      </c>
      <c r="AT169" s="6" t="s">
        <v>164</v>
      </c>
      <c r="AU169" s="6" t="s">
        <v>141</v>
      </c>
      <c r="AY169" s="6" t="s">
        <v>163</v>
      </c>
      <c r="BE169" s="82">
        <f>IF($U$169="základní",$N$169,0)</f>
        <v>0</v>
      </c>
      <c r="BF169" s="82">
        <f>IF($U$169="snížená",$N$169,0)</f>
        <v>0</v>
      </c>
      <c r="BG169" s="82">
        <f>IF($U$169="zákl. přenesená",$N$169,0)</f>
        <v>0</v>
      </c>
      <c r="BH169" s="82">
        <f>IF($U$169="sníž. přenesená",$N$169,0)</f>
        <v>0</v>
      </c>
      <c r="BI169" s="82">
        <f>IF($U$169="nulová",$N$169,0)</f>
        <v>0</v>
      </c>
      <c r="BJ169" s="6" t="s">
        <v>141</v>
      </c>
      <c r="BK169" s="82">
        <f>ROUND($L$169*$K$169,2)</f>
        <v>0</v>
      </c>
      <c r="BL169" s="6" t="s">
        <v>219</v>
      </c>
    </row>
    <row r="170" spans="2:64" s="6" customFormat="1" ht="27" customHeight="1">
      <c r="B170" s="21"/>
      <c r="C170" s="123" t="s">
        <v>254</v>
      </c>
      <c r="D170" s="123" t="s">
        <v>164</v>
      </c>
      <c r="E170" s="124" t="s">
        <v>255</v>
      </c>
      <c r="F170" s="205" t="s">
        <v>256</v>
      </c>
      <c r="G170" s="206"/>
      <c r="H170" s="206"/>
      <c r="I170" s="206"/>
      <c r="J170" s="125" t="s">
        <v>240</v>
      </c>
      <c r="K170" s="140">
        <v>0</v>
      </c>
      <c r="L170" s="207">
        <v>0</v>
      </c>
      <c r="M170" s="206"/>
      <c r="N170" s="208">
        <f>ROUND($L$170*$K$170,2)</f>
        <v>0</v>
      </c>
      <c r="O170" s="206"/>
      <c r="P170" s="206"/>
      <c r="Q170" s="206"/>
      <c r="R170" s="22"/>
      <c r="T170" s="127"/>
      <c r="U170" s="28" t="s">
        <v>42</v>
      </c>
      <c r="V170" s="128">
        <v>0</v>
      </c>
      <c r="W170" s="128">
        <f>$V$170*$K$170</f>
        <v>0</v>
      </c>
      <c r="X170" s="128">
        <v>0</v>
      </c>
      <c r="Y170" s="128">
        <f>$X$170*$K$170</f>
        <v>0</v>
      </c>
      <c r="Z170" s="128">
        <v>0</v>
      </c>
      <c r="AA170" s="129">
        <f>$Z$170*$K$170</f>
        <v>0</v>
      </c>
      <c r="AR170" s="6" t="s">
        <v>219</v>
      </c>
      <c r="AT170" s="6" t="s">
        <v>164</v>
      </c>
      <c r="AU170" s="6" t="s">
        <v>141</v>
      </c>
      <c r="AY170" s="6" t="s">
        <v>163</v>
      </c>
      <c r="BE170" s="82">
        <f>IF($U$170="základní",$N$170,0)</f>
        <v>0</v>
      </c>
      <c r="BF170" s="82">
        <f>IF($U$170="snížená",$N$170,0)</f>
        <v>0</v>
      </c>
      <c r="BG170" s="82">
        <f>IF($U$170="zákl. přenesená",$N$170,0)</f>
        <v>0</v>
      </c>
      <c r="BH170" s="82">
        <f>IF($U$170="sníž. přenesená",$N$170,0)</f>
        <v>0</v>
      </c>
      <c r="BI170" s="82">
        <f>IF($U$170="nulová",$N$170,0)</f>
        <v>0</v>
      </c>
      <c r="BJ170" s="6" t="s">
        <v>141</v>
      </c>
      <c r="BK170" s="82">
        <f>ROUND($L$170*$K$170,2)</f>
        <v>0</v>
      </c>
      <c r="BL170" s="6" t="s">
        <v>219</v>
      </c>
    </row>
    <row r="171" spans="2:63" s="113" customFormat="1" ht="30.75" customHeight="1">
      <c r="B171" s="114"/>
      <c r="D171" s="122" t="s">
        <v>134</v>
      </c>
      <c r="N171" s="223">
        <f>$BK$171</f>
        <v>0</v>
      </c>
      <c r="O171" s="222"/>
      <c r="P171" s="222"/>
      <c r="Q171" s="222"/>
      <c r="R171" s="117"/>
      <c r="T171" s="118"/>
      <c r="W171" s="119">
        <f>SUM($W$172:$W$177)</f>
        <v>2.418</v>
      </c>
      <c r="Y171" s="119">
        <f>SUM($Y$172:$Y$177)</f>
        <v>0.068</v>
      </c>
      <c r="AA171" s="120">
        <f>SUM($AA$172:$AA$177)</f>
        <v>0.12</v>
      </c>
      <c r="AR171" s="116" t="s">
        <v>141</v>
      </c>
      <c r="AT171" s="116" t="s">
        <v>74</v>
      </c>
      <c r="AU171" s="116" t="s">
        <v>17</v>
      </c>
      <c r="AY171" s="116" t="s">
        <v>163</v>
      </c>
      <c r="BK171" s="121">
        <f>SUM($BK$172:$BK$177)</f>
        <v>0</v>
      </c>
    </row>
    <row r="172" spans="2:64" s="6" customFormat="1" ht="15.75" customHeight="1">
      <c r="B172" s="21"/>
      <c r="C172" s="123" t="s">
        <v>257</v>
      </c>
      <c r="D172" s="123" t="s">
        <v>164</v>
      </c>
      <c r="E172" s="124" t="s">
        <v>258</v>
      </c>
      <c r="F172" s="205" t="s">
        <v>259</v>
      </c>
      <c r="G172" s="206"/>
      <c r="H172" s="206"/>
      <c r="I172" s="206"/>
      <c r="J172" s="125" t="s">
        <v>167</v>
      </c>
      <c r="K172" s="126">
        <v>4</v>
      </c>
      <c r="L172" s="207">
        <v>0</v>
      </c>
      <c r="M172" s="206"/>
      <c r="N172" s="208">
        <f>ROUND($L$172*$K$172,2)</f>
        <v>0</v>
      </c>
      <c r="O172" s="206"/>
      <c r="P172" s="206"/>
      <c r="Q172" s="206"/>
      <c r="R172" s="22"/>
      <c r="T172" s="127"/>
      <c r="U172" s="28" t="s">
        <v>42</v>
      </c>
      <c r="V172" s="128">
        <v>0.542</v>
      </c>
      <c r="W172" s="128">
        <f>$V$172*$K$172</f>
        <v>2.168</v>
      </c>
      <c r="X172" s="128">
        <v>0</v>
      </c>
      <c r="Y172" s="128">
        <f>$X$172*$K$172</f>
        <v>0</v>
      </c>
      <c r="Z172" s="128">
        <v>0</v>
      </c>
      <c r="AA172" s="129">
        <f>$Z$172*$K$172</f>
        <v>0</v>
      </c>
      <c r="AR172" s="6" t="s">
        <v>219</v>
      </c>
      <c r="AT172" s="6" t="s">
        <v>164</v>
      </c>
      <c r="AU172" s="6" t="s">
        <v>141</v>
      </c>
      <c r="AY172" s="6" t="s">
        <v>163</v>
      </c>
      <c r="BE172" s="82">
        <f>IF($U$172="základní",$N$172,0)</f>
        <v>0</v>
      </c>
      <c r="BF172" s="82">
        <f>IF($U$172="snížená",$N$172,0)</f>
        <v>0</v>
      </c>
      <c r="BG172" s="82">
        <f>IF($U$172="zákl. přenesená",$N$172,0)</f>
        <v>0</v>
      </c>
      <c r="BH172" s="82">
        <f>IF($U$172="sníž. přenesená",$N$172,0)</f>
        <v>0</v>
      </c>
      <c r="BI172" s="82">
        <f>IF($U$172="nulová",$N$172,0)</f>
        <v>0</v>
      </c>
      <c r="BJ172" s="6" t="s">
        <v>141</v>
      </c>
      <c r="BK172" s="82">
        <f>ROUND($L$172*$K$172,2)</f>
        <v>0</v>
      </c>
      <c r="BL172" s="6" t="s">
        <v>219</v>
      </c>
    </row>
    <row r="173" spans="2:64" s="6" customFormat="1" ht="15.75" customHeight="1">
      <c r="B173" s="21"/>
      <c r="C173" s="136" t="s">
        <v>260</v>
      </c>
      <c r="D173" s="136" t="s">
        <v>190</v>
      </c>
      <c r="E173" s="137" t="s">
        <v>261</v>
      </c>
      <c r="F173" s="211" t="s">
        <v>262</v>
      </c>
      <c r="G173" s="212"/>
      <c r="H173" s="212"/>
      <c r="I173" s="212"/>
      <c r="J173" s="138" t="s">
        <v>167</v>
      </c>
      <c r="K173" s="139">
        <v>4</v>
      </c>
      <c r="L173" s="213">
        <v>0</v>
      </c>
      <c r="M173" s="212"/>
      <c r="N173" s="214">
        <f>ROUND($L$173*$K$173,2)</f>
        <v>0</v>
      </c>
      <c r="O173" s="206"/>
      <c r="P173" s="206"/>
      <c r="Q173" s="206"/>
      <c r="R173" s="22"/>
      <c r="T173" s="127"/>
      <c r="U173" s="28" t="s">
        <v>42</v>
      </c>
      <c r="V173" s="128">
        <v>0</v>
      </c>
      <c r="W173" s="128">
        <f>$V$173*$K$173</f>
        <v>0</v>
      </c>
      <c r="X173" s="128">
        <v>0.001</v>
      </c>
      <c r="Y173" s="128">
        <f>$X$173*$K$173</f>
        <v>0.004</v>
      </c>
      <c r="Z173" s="128">
        <v>0</v>
      </c>
      <c r="AA173" s="129">
        <f>$Z$173*$K$173</f>
        <v>0</v>
      </c>
      <c r="AR173" s="6" t="s">
        <v>263</v>
      </c>
      <c r="AT173" s="6" t="s">
        <v>190</v>
      </c>
      <c r="AU173" s="6" t="s">
        <v>141</v>
      </c>
      <c r="AY173" s="6" t="s">
        <v>163</v>
      </c>
      <c r="BE173" s="82">
        <f>IF($U$173="základní",$N$173,0)</f>
        <v>0</v>
      </c>
      <c r="BF173" s="82">
        <f>IF($U$173="snížená",$N$173,0)</f>
        <v>0</v>
      </c>
      <c r="BG173" s="82">
        <f>IF($U$173="zákl. přenesená",$N$173,0)</f>
        <v>0</v>
      </c>
      <c r="BH173" s="82">
        <f>IF($U$173="sníž. přenesená",$N$173,0)</f>
        <v>0</v>
      </c>
      <c r="BI173" s="82">
        <f>IF($U$173="nulová",$N$173,0)</f>
        <v>0</v>
      </c>
      <c r="BJ173" s="6" t="s">
        <v>141</v>
      </c>
      <c r="BK173" s="82">
        <f>ROUND($L$173*$K$173,2)</f>
        <v>0</v>
      </c>
      <c r="BL173" s="6" t="s">
        <v>219</v>
      </c>
    </row>
    <row r="174" spans="2:64" s="6" customFormat="1" ht="27" customHeight="1">
      <c r="B174" s="21"/>
      <c r="C174" s="123" t="s">
        <v>264</v>
      </c>
      <c r="D174" s="123" t="s">
        <v>164</v>
      </c>
      <c r="E174" s="124" t="s">
        <v>265</v>
      </c>
      <c r="F174" s="205" t="s">
        <v>266</v>
      </c>
      <c r="G174" s="206"/>
      <c r="H174" s="206"/>
      <c r="I174" s="206"/>
      <c r="J174" s="125" t="s">
        <v>167</v>
      </c>
      <c r="K174" s="126">
        <v>5</v>
      </c>
      <c r="L174" s="207">
        <v>0</v>
      </c>
      <c r="M174" s="206"/>
      <c r="N174" s="208">
        <f>ROUND($L$174*$K$174,2)</f>
        <v>0</v>
      </c>
      <c r="O174" s="206"/>
      <c r="P174" s="206"/>
      <c r="Q174" s="206"/>
      <c r="R174" s="22"/>
      <c r="T174" s="127"/>
      <c r="U174" s="28" t="s">
        <v>42</v>
      </c>
      <c r="V174" s="128">
        <v>0.05</v>
      </c>
      <c r="W174" s="128">
        <f>$V$174*$K$174</f>
        <v>0.25</v>
      </c>
      <c r="X174" s="128">
        <v>0</v>
      </c>
      <c r="Y174" s="128">
        <f>$X$174*$K$174</f>
        <v>0</v>
      </c>
      <c r="Z174" s="128">
        <v>0.024</v>
      </c>
      <c r="AA174" s="129">
        <f>$Z$174*$K$174</f>
        <v>0.12</v>
      </c>
      <c r="AR174" s="6" t="s">
        <v>219</v>
      </c>
      <c r="AT174" s="6" t="s">
        <v>164</v>
      </c>
      <c r="AU174" s="6" t="s">
        <v>141</v>
      </c>
      <c r="AY174" s="6" t="s">
        <v>163</v>
      </c>
      <c r="BE174" s="82">
        <f>IF($U$174="základní",$N$174,0)</f>
        <v>0</v>
      </c>
      <c r="BF174" s="82">
        <f>IF($U$174="snížená",$N$174,0)</f>
        <v>0</v>
      </c>
      <c r="BG174" s="82">
        <f>IF($U$174="zákl. přenesená",$N$174,0)</f>
        <v>0</v>
      </c>
      <c r="BH174" s="82">
        <f>IF($U$174="sníž. přenesená",$N$174,0)</f>
        <v>0</v>
      </c>
      <c r="BI174" s="82">
        <f>IF($U$174="nulová",$N$174,0)</f>
        <v>0</v>
      </c>
      <c r="BJ174" s="6" t="s">
        <v>141</v>
      </c>
      <c r="BK174" s="82">
        <f>ROUND($L$174*$K$174,2)</f>
        <v>0</v>
      </c>
      <c r="BL174" s="6" t="s">
        <v>219</v>
      </c>
    </row>
    <row r="175" spans="2:64" s="6" customFormat="1" ht="27" customHeight="1">
      <c r="B175" s="21"/>
      <c r="C175" s="136" t="s">
        <v>267</v>
      </c>
      <c r="D175" s="136" t="s">
        <v>190</v>
      </c>
      <c r="E175" s="137" t="s">
        <v>268</v>
      </c>
      <c r="F175" s="211" t="s">
        <v>269</v>
      </c>
      <c r="G175" s="212"/>
      <c r="H175" s="212"/>
      <c r="I175" s="212"/>
      <c r="J175" s="138" t="s">
        <v>167</v>
      </c>
      <c r="K175" s="139">
        <v>3</v>
      </c>
      <c r="L175" s="213">
        <v>0</v>
      </c>
      <c r="M175" s="212"/>
      <c r="N175" s="214">
        <f>ROUND($L$175*$K$175,2)</f>
        <v>0</v>
      </c>
      <c r="O175" s="206"/>
      <c r="P175" s="206"/>
      <c r="Q175" s="206"/>
      <c r="R175" s="22"/>
      <c r="T175" s="127"/>
      <c r="U175" s="28" t="s">
        <v>42</v>
      </c>
      <c r="V175" s="128">
        <v>0</v>
      </c>
      <c r="W175" s="128">
        <f>$V$175*$K$175</f>
        <v>0</v>
      </c>
      <c r="X175" s="128">
        <v>0.0155</v>
      </c>
      <c r="Y175" s="128">
        <f>$X$175*$K$175</f>
        <v>0.0465</v>
      </c>
      <c r="Z175" s="128">
        <v>0</v>
      </c>
      <c r="AA175" s="129">
        <f>$Z$175*$K$175</f>
        <v>0</v>
      </c>
      <c r="AR175" s="6" t="s">
        <v>263</v>
      </c>
      <c r="AT175" s="6" t="s">
        <v>190</v>
      </c>
      <c r="AU175" s="6" t="s">
        <v>141</v>
      </c>
      <c r="AY175" s="6" t="s">
        <v>163</v>
      </c>
      <c r="BE175" s="82">
        <f>IF($U$175="základní",$N$175,0)</f>
        <v>0</v>
      </c>
      <c r="BF175" s="82">
        <f>IF($U$175="snížená",$N$175,0)</f>
        <v>0</v>
      </c>
      <c r="BG175" s="82">
        <f>IF($U$175="zákl. přenesená",$N$175,0)</f>
        <v>0</v>
      </c>
      <c r="BH175" s="82">
        <f>IF($U$175="sníž. přenesená",$N$175,0)</f>
        <v>0</v>
      </c>
      <c r="BI175" s="82">
        <f>IF($U$175="nulová",$N$175,0)</f>
        <v>0</v>
      </c>
      <c r="BJ175" s="6" t="s">
        <v>141</v>
      </c>
      <c r="BK175" s="82">
        <f>ROUND($L$175*$K$175,2)</f>
        <v>0</v>
      </c>
      <c r="BL175" s="6" t="s">
        <v>219</v>
      </c>
    </row>
    <row r="176" spans="2:64" s="6" customFormat="1" ht="27" customHeight="1">
      <c r="B176" s="21"/>
      <c r="C176" s="136" t="s">
        <v>263</v>
      </c>
      <c r="D176" s="136" t="s">
        <v>190</v>
      </c>
      <c r="E176" s="137" t="s">
        <v>270</v>
      </c>
      <c r="F176" s="211" t="s">
        <v>271</v>
      </c>
      <c r="G176" s="212"/>
      <c r="H176" s="212"/>
      <c r="I176" s="212"/>
      <c r="J176" s="138" t="s">
        <v>167</v>
      </c>
      <c r="K176" s="139">
        <v>1</v>
      </c>
      <c r="L176" s="213">
        <v>0</v>
      </c>
      <c r="M176" s="212"/>
      <c r="N176" s="214">
        <f>ROUND($L$176*$K$176,2)</f>
        <v>0</v>
      </c>
      <c r="O176" s="206"/>
      <c r="P176" s="206"/>
      <c r="Q176" s="206"/>
      <c r="R176" s="22"/>
      <c r="T176" s="127"/>
      <c r="U176" s="28" t="s">
        <v>42</v>
      </c>
      <c r="V176" s="128">
        <v>0</v>
      </c>
      <c r="W176" s="128">
        <f>$V$176*$K$176</f>
        <v>0</v>
      </c>
      <c r="X176" s="128">
        <v>0.0175</v>
      </c>
      <c r="Y176" s="128">
        <f>$X$176*$K$176</f>
        <v>0.0175</v>
      </c>
      <c r="Z176" s="128">
        <v>0</v>
      </c>
      <c r="AA176" s="129">
        <f>$Z$176*$K$176</f>
        <v>0</v>
      </c>
      <c r="AR176" s="6" t="s">
        <v>263</v>
      </c>
      <c r="AT176" s="6" t="s">
        <v>190</v>
      </c>
      <c r="AU176" s="6" t="s">
        <v>141</v>
      </c>
      <c r="AY176" s="6" t="s">
        <v>163</v>
      </c>
      <c r="BE176" s="82">
        <f>IF($U$176="základní",$N$176,0)</f>
        <v>0</v>
      </c>
      <c r="BF176" s="82">
        <f>IF($U$176="snížená",$N$176,0)</f>
        <v>0</v>
      </c>
      <c r="BG176" s="82">
        <f>IF($U$176="zákl. přenesená",$N$176,0)</f>
        <v>0</v>
      </c>
      <c r="BH176" s="82">
        <f>IF($U$176="sníž. přenesená",$N$176,0)</f>
        <v>0</v>
      </c>
      <c r="BI176" s="82">
        <f>IF($U$176="nulová",$N$176,0)</f>
        <v>0</v>
      </c>
      <c r="BJ176" s="6" t="s">
        <v>141</v>
      </c>
      <c r="BK176" s="82">
        <f>ROUND($L$176*$K$176,2)</f>
        <v>0</v>
      </c>
      <c r="BL176" s="6" t="s">
        <v>219</v>
      </c>
    </row>
    <row r="177" spans="2:64" s="6" customFormat="1" ht="27" customHeight="1">
      <c r="B177" s="21"/>
      <c r="C177" s="123" t="s">
        <v>272</v>
      </c>
      <c r="D177" s="123" t="s">
        <v>164</v>
      </c>
      <c r="E177" s="124" t="s">
        <v>273</v>
      </c>
      <c r="F177" s="205" t="s">
        <v>274</v>
      </c>
      <c r="G177" s="206"/>
      <c r="H177" s="206"/>
      <c r="I177" s="206"/>
      <c r="J177" s="125" t="s">
        <v>240</v>
      </c>
      <c r="K177" s="140">
        <v>0</v>
      </c>
      <c r="L177" s="207">
        <v>0</v>
      </c>
      <c r="M177" s="206"/>
      <c r="N177" s="208">
        <f>ROUND($L$177*$K$177,2)</f>
        <v>0</v>
      </c>
      <c r="O177" s="206"/>
      <c r="P177" s="206"/>
      <c r="Q177" s="206"/>
      <c r="R177" s="22"/>
      <c r="T177" s="127"/>
      <c r="U177" s="28" t="s">
        <v>42</v>
      </c>
      <c r="V177" s="128">
        <v>0</v>
      </c>
      <c r="W177" s="128">
        <f>$V$177*$K$177</f>
        <v>0</v>
      </c>
      <c r="X177" s="128">
        <v>0</v>
      </c>
      <c r="Y177" s="128">
        <f>$X$177*$K$177</f>
        <v>0</v>
      </c>
      <c r="Z177" s="128">
        <v>0</v>
      </c>
      <c r="AA177" s="129">
        <f>$Z$177*$K$177</f>
        <v>0</v>
      </c>
      <c r="AR177" s="6" t="s">
        <v>219</v>
      </c>
      <c r="AT177" s="6" t="s">
        <v>164</v>
      </c>
      <c r="AU177" s="6" t="s">
        <v>141</v>
      </c>
      <c r="AY177" s="6" t="s">
        <v>163</v>
      </c>
      <c r="BE177" s="82">
        <f>IF($U$177="základní",$N$177,0)</f>
        <v>0</v>
      </c>
      <c r="BF177" s="82">
        <f>IF($U$177="snížená",$N$177,0)</f>
        <v>0</v>
      </c>
      <c r="BG177" s="82">
        <f>IF($U$177="zákl. přenesená",$N$177,0)</f>
        <v>0</v>
      </c>
      <c r="BH177" s="82">
        <f>IF($U$177="sníž. přenesená",$N$177,0)</f>
        <v>0</v>
      </c>
      <c r="BI177" s="82">
        <f>IF($U$177="nulová",$N$177,0)</f>
        <v>0</v>
      </c>
      <c r="BJ177" s="6" t="s">
        <v>141</v>
      </c>
      <c r="BK177" s="82">
        <f>ROUND($L$177*$K$177,2)</f>
        <v>0</v>
      </c>
      <c r="BL177" s="6" t="s">
        <v>219</v>
      </c>
    </row>
    <row r="178" spans="2:63" s="113" customFormat="1" ht="30.75" customHeight="1">
      <c r="B178" s="114"/>
      <c r="D178" s="122" t="s">
        <v>135</v>
      </c>
      <c r="N178" s="223">
        <f>$BK$178</f>
        <v>0</v>
      </c>
      <c r="O178" s="222"/>
      <c r="P178" s="222"/>
      <c r="Q178" s="222"/>
      <c r="R178" s="117"/>
      <c r="T178" s="118"/>
      <c r="W178" s="119">
        <f>SUM($W$179:$W$186)</f>
        <v>34.442216</v>
      </c>
      <c r="Y178" s="119">
        <f>SUM($Y$179:$Y$186)</f>
        <v>0.021427600000000005</v>
      </c>
      <c r="AA178" s="120">
        <f>SUM($AA$179:$AA$186)</f>
        <v>0</v>
      </c>
      <c r="AR178" s="116" t="s">
        <v>141</v>
      </c>
      <c r="AT178" s="116" t="s">
        <v>74</v>
      </c>
      <c r="AU178" s="116" t="s">
        <v>17</v>
      </c>
      <c r="AY178" s="116" t="s">
        <v>163</v>
      </c>
      <c r="BK178" s="121">
        <f>SUM($BK$179:$BK$186)</f>
        <v>0</v>
      </c>
    </row>
    <row r="179" spans="2:64" s="6" customFormat="1" ht="27" customHeight="1">
      <c r="B179" s="21"/>
      <c r="C179" s="123" t="s">
        <v>275</v>
      </c>
      <c r="D179" s="123" t="s">
        <v>164</v>
      </c>
      <c r="E179" s="124" t="s">
        <v>276</v>
      </c>
      <c r="F179" s="205" t="s">
        <v>277</v>
      </c>
      <c r="G179" s="206"/>
      <c r="H179" s="206"/>
      <c r="I179" s="206"/>
      <c r="J179" s="125" t="s">
        <v>171</v>
      </c>
      <c r="K179" s="126">
        <v>17.632</v>
      </c>
      <c r="L179" s="207">
        <v>0</v>
      </c>
      <c r="M179" s="206"/>
      <c r="N179" s="208">
        <f>ROUND($L$179*$K$179,2)</f>
        <v>0</v>
      </c>
      <c r="O179" s="206"/>
      <c r="P179" s="206"/>
      <c r="Q179" s="206"/>
      <c r="R179" s="22"/>
      <c r="T179" s="127"/>
      <c r="U179" s="28" t="s">
        <v>42</v>
      </c>
      <c r="V179" s="128">
        <v>0.287</v>
      </c>
      <c r="W179" s="128">
        <f>$V$179*$K$179</f>
        <v>5.060384</v>
      </c>
      <c r="X179" s="128">
        <v>0.00016</v>
      </c>
      <c r="Y179" s="128">
        <f>$X$179*$K$179</f>
        <v>0.0028211200000000003</v>
      </c>
      <c r="Z179" s="128">
        <v>0</v>
      </c>
      <c r="AA179" s="129">
        <f>$Z$179*$K$179</f>
        <v>0</v>
      </c>
      <c r="AR179" s="6" t="s">
        <v>219</v>
      </c>
      <c r="AT179" s="6" t="s">
        <v>164</v>
      </c>
      <c r="AU179" s="6" t="s">
        <v>141</v>
      </c>
      <c r="AY179" s="6" t="s">
        <v>163</v>
      </c>
      <c r="BE179" s="82">
        <f>IF($U$179="základní",$N$179,0)</f>
        <v>0</v>
      </c>
      <c r="BF179" s="82">
        <f>IF($U$179="snížená",$N$179,0)</f>
        <v>0</v>
      </c>
      <c r="BG179" s="82">
        <f>IF($U$179="zákl. přenesená",$N$179,0)</f>
        <v>0</v>
      </c>
      <c r="BH179" s="82">
        <f>IF($U$179="sníž. přenesená",$N$179,0)</f>
        <v>0</v>
      </c>
      <c r="BI179" s="82">
        <f>IF($U$179="nulová",$N$179,0)</f>
        <v>0</v>
      </c>
      <c r="BJ179" s="6" t="s">
        <v>141</v>
      </c>
      <c r="BK179" s="82">
        <f>ROUND($L$179*$K$179,2)</f>
        <v>0</v>
      </c>
      <c r="BL179" s="6" t="s">
        <v>219</v>
      </c>
    </row>
    <row r="180" spans="2:51" s="6" customFormat="1" ht="15.75" customHeight="1">
      <c r="B180" s="130"/>
      <c r="E180" s="131"/>
      <c r="F180" s="209" t="s">
        <v>278</v>
      </c>
      <c r="G180" s="210"/>
      <c r="H180" s="210"/>
      <c r="I180" s="210"/>
      <c r="K180" s="132">
        <v>17.632</v>
      </c>
      <c r="R180" s="133"/>
      <c r="T180" s="134"/>
      <c r="AA180" s="135"/>
      <c r="AT180" s="131" t="s">
        <v>173</v>
      </c>
      <c r="AU180" s="131" t="s">
        <v>141</v>
      </c>
      <c r="AV180" s="131" t="s">
        <v>141</v>
      </c>
      <c r="AW180" s="131" t="s">
        <v>125</v>
      </c>
      <c r="AX180" s="131" t="s">
        <v>17</v>
      </c>
      <c r="AY180" s="131" t="s">
        <v>163</v>
      </c>
    </row>
    <row r="181" spans="2:64" s="6" customFormat="1" ht="39" customHeight="1">
      <c r="B181" s="21"/>
      <c r="C181" s="123" t="s">
        <v>279</v>
      </c>
      <c r="D181" s="123" t="s">
        <v>164</v>
      </c>
      <c r="E181" s="124" t="s">
        <v>280</v>
      </c>
      <c r="F181" s="205" t="s">
        <v>281</v>
      </c>
      <c r="G181" s="206"/>
      <c r="H181" s="206"/>
      <c r="I181" s="206"/>
      <c r="J181" s="125" t="s">
        <v>171</v>
      </c>
      <c r="K181" s="126">
        <v>47.88</v>
      </c>
      <c r="L181" s="207">
        <v>0</v>
      </c>
      <c r="M181" s="206"/>
      <c r="N181" s="208">
        <f>ROUND($L$181*$K$181,2)</f>
        <v>0</v>
      </c>
      <c r="O181" s="206"/>
      <c r="P181" s="206"/>
      <c r="Q181" s="206"/>
      <c r="R181" s="22"/>
      <c r="T181" s="127"/>
      <c r="U181" s="28" t="s">
        <v>42</v>
      </c>
      <c r="V181" s="128">
        <v>0.506</v>
      </c>
      <c r="W181" s="128">
        <f>$V$181*$K$181</f>
        <v>24.22728</v>
      </c>
      <c r="X181" s="128">
        <v>0.00032</v>
      </c>
      <c r="Y181" s="128">
        <f>$X$181*$K$181</f>
        <v>0.015321600000000003</v>
      </c>
      <c r="Z181" s="128">
        <v>0</v>
      </c>
      <c r="AA181" s="129">
        <f>$Z$181*$K$181</f>
        <v>0</v>
      </c>
      <c r="AR181" s="6" t="s">
        <v>219</v>
      </c>
      <c r="AT181" s="6" t="s">
        <v>164</v>
      </c>
      <c r="AU181" s="6" t="s">
        <v>141</v>
      </c>
      <c r="AY181" s="6" t="s">
        <v>163</v>
      </c>
      <c r="BE181" s="82">
        <f>IF($U$181="základní",$N$181,0)</f>
        <v>0</v>
      </c>
      <c r="BF181" s="82">
        <f>IF($U$181="snížená",$N$181,0)</f>
        <v>0</v>
      </c>
      <c r="BG181" s="82">
        <f>IF($U$181="zákl. přenesená",$N$181,0)</f>
        <v>0</v>
      </c>
      <c r="BH181" s="82">
        <f>IF($U$181="sníž. přenesená",$N$181,0)</f>
        <v>0</v>
      </c>
      <c r="BI181" s="82">
        <f>IF($U$181="nulová",$N$181,0)</f>
        <v>0</v>
      </c>
      <c r="BJ181" s="6" t="s">
        <v>141</v>
      </c>
      <c r="BK181" s="82">
        <f>ROUND($L$181*$K$181,2)</f>
        <v>0</v>
      </c>
      <c r="BL181" s="6" t="s">
        <v>219</v>
      </c>
    </row>
    <row r="182" spans="2:64" s="6" customFormat="1" ht="15.75" customHeight="1">
      <c r="B182" s="21"/>
      <c r="C182" s="123" t="s">
        <v>282</v>
      </c>
      <c r="D182" s="123" t="s">
        <v>164</v>
      </c>
      <c r="E182" s="124" t="s">
        <v>283</v>
      </c>
      <c r="F182" s="205" t="s">
        <v>284</v>
      </c>
      <c r="G182" s="206"/>
      <c r="H182" s="206"/>
      <c r="I182" s="206"/>
      <c r="J182" s="125" t="s">
        <v>171</v>
      </c>
      <c r="K182" s="126">
        <v>14.848</v>
      </c>
      <c r="L182" s="207">
        <v>0</v>
      </c>
      <c r="M182" s="206"/>
      <c r="N182" s="208">
        <f>ROUND($L$182*$K$182,2)</f>
        <v>0</v>
      </c>
      <c r="O182" s="206"/>
      <c r="P182" s="206"/>
      <c r="Q182" s="206"/>
      <c r="R182" s="22"/>
      <c r="T182" s="127"/>
      <c r="U182" s="28" t="s">
        <v>42</v>
      </c>
      <c r="V182" s="128">
        <v>0.144</v>
      </c>
      <c r="W182" s="128">
        <f>$V$182*$K$182</f>
        <v>2.138112</v>
      </c>
      <c r="X182" s="128">
        <v>6E-05</v>
      </c>
      <c r="Y182" s="128">
        <f>$X$182*$K$182</f>
        <v>0.00089088</v>
      </c>
      <c r="Z182" s="128">
        <v>0</v>
      </c>
      <c r="AA182" s="129">
        <f>$Z$182*$K$182</f>
        <v>0</v>
      </c>
      <c r="AR182" s="6" t="s">
        <v>219</v>
      </c>
      <c r="AT182" s="6" t="s">
        <v>164</v>
      </c>
      <c r="AU182" s="6" t="s">
        <v>141</v>
      </c>
      <c r="AY182" s="6" t="s">
        <v>163</v>
      </c>
      <c r="BE182" s="82">
        <f>IF($U$182="základní",$N$182,0)</f>
        <v>0</v>
      </c>
      <c r="BF182" s="82">
        <f>IF($U$182="snížená",$N$182,0)</f>
        <v>0</v>
      </c>
      <c r="BG182" s="82">
        <f>IF($U$182="zákl. přenesená",$N$182,0)</f>
        <v>0</v>
      </c>
      <c r="BH182" s="82">
        <f>IF($U$182="sníž. přenesená",$N$182,0)</f>
        <v>0</v>
      </c>
      <c r="BI182" s="82">
        <f>IF($U$182="nulová",$N$182,0)</f>
        <v>0</v>
      </c>
      <c r="BJ182" s="6" t="s">
        <v>141</v>
      </c>
      <c r="BK182" s="82">
        <f>ROUND($L$182*$K$182,2)</f>
        <v>0</v>
      </c>
      <c r="BL182" s="6" t="s">
        <v>219</v>
      </c>
    </row>
    <row r="183" spans="2:51" s="6" customFormat="1" ht="15.75" customHeight="1">
      <c r="B183" s="130"/>
      <c r="E183" s="131"/>
      <c r="F183" s="209" t="s">
        <v>285</v>
      </c>
      <c r="G183" s="210"/>
      <c r="H183" s="210"/>
      <c r="I183" s="210"/>
      <c r="K183" s="132">
        <v>14.848</v>
      </c>
      <c r="R183" s="133"/>
      <c r="T183" s="134"/>
      <c r="AA183" s="135"/>
      <c r="AT183" s="131" t="s">
        <v>173</v>
      </c>
      <c r="AU183" s="131" t="s">
        <v>141</v>
      </c>
      <c r="AV183" s="131" t="s">
        <v>141</v>
      </c>
      <c r="AW183" s="131" t="s">
        <v>125</v>
      </c>
      <c r="AX183" s="131" t="s">
        <v>75</v>
      </c>
      <c r="AY183" s="131" t="s">
        <v>163</v>
      </c>
    </row>
    <row r="184" spans="2:51" s="6" customFormat="1" ht="15.75" customHeight="1">
      <c r="B184" s="141"/>
      <c r="E184" s="142"/>
      <c r="F184" s="215" t="s">
        <v>286</v>
      </c>
      <c r="G184" s="216"/>
      <c r="H184" s="216"/>
      <c r="I184" s="216"/>
      <c r="K184" s="143">
        <v>14.848</v>
      </c>
      <c r="R184" s="144"/>
      <c r="T184" s="145"/>
      <c r="AA184" s="146"/>
      <c r="AT184" s="142" t="s">
        <v>173</v>
      </c>
      <c r="AU184" s="142" t="s">
        <v>141</v>
      </c>
      <c r="AV184" s="142" t="s">
        <v>168</v>
      </c>
      <c r="AW184" s="142" t="s">
        <v>125</v>
      </c>
      <c r="AX184" s="142" t="s">
        <v>17</v>
      </c>
      <c r="AY184" s="142" t="s">
        <v>163</v>
      </c>
    </row>
    <row r="185" spans="2:64" s="6" customFormat="1" ht="15.75" customHeight="1">
      <c r="B185" s="21"/>
      <c r="C185" s="123" t="s">
        <v>287</v>
      </c>
      <c r="D185" s="123" t="s">
        <v>164</v>
      </c>
      <c r="E185" s="124" t="s">
        <v>288</v>
      </c>
      <c r="F185" s="205" t="s">
        <v>289</v>
      </c>
      <c r="G185" s="206"/>
      <c r="H185" s="206"/>
      <c r="I185" s="206"/>
      <c r="J185" s="125" t="s">
        <v>171</v>
      </c>
      <c r="K185" s="126">
        <v>47.88</v>
      </c>
      <c r="L185" s="207">
        <v>0</v>
      </c>
      <c r="M185" s="206"/>
      <c r="N185" s="208">
        <f>ROUND($L$185*$K$185,2)</f>
        <v>0</v>
      </c>
      <c r="O185" s="206"/>
      <c r="P185" s="206"/>
      <c r="Q185" s="206"/>
      <c r="R185" s="22"/>
      <c r="T185" s="127"/>
      <c r="U185" s="28" t="s">
        <v>42</v>
      </c>
      <c r="V185" s="128">
        <v>0.063</v>
      </c>
      <c r="W185" s="128">
        <f>$V$185*$K$185</f>
        <v>3.0164400000000002</v>
      </c>
      <c r="X185" s="128">
        <v>5E-05</v>
      </c>
      <c r="Y185" s="128">
        <f>$X$185*$K$185</f>
        <v>0.0023940000000000003</v>
      </c>
      <c r="Z185" s="128">
        <v>0</v>
      </c>
      <c r="AA185" s="129">
        <f>$Z$185*$K$185</f>
        <v>0</v>
      </c>
      <c r="AR185" s="6" t="s">
        <v>219</v>
      </c>
      <c r="AT185" s="6" t="s">
        <v>164</v>
      </c>
      <c r="AU185" s="6" t="s">
        <v>141</v>
      </c>
      <c r="AY185" s="6" t="s">
        <v>163</v>
      </c>
      <c r="BE185" s="82">
        <f>IF($U$185="základní",$N$185,0)</f>
        <v>0</v>
      </c>
      <c r="BF185" s="82">
        <f>IF($U$185="snížená",$N$185,0)</f>
        <v>0</v>
      </c>
      <c r="BG185" s="82">
        <f>IF($U$185="zákl. přenesená",$N$185,0)</f>
        <v>0</v>
      </c>
      <c r="BH185" s="82">
        <f>IF($U$185="sníž. přenesená",$N$185,0)</f>
        <v>0</v>
      </c>
      <c r="BI185" s="82">
        <f>IF($U$185="nulová",$N$185,0)</f>
        <v>0</v>
      </c>
      <c r="BJ185" s="6" t="s">
        <v>141</v>
      </c>
      <c r="BK185" s="82">
        <f>ROUND($L$185*$K$185,2)</f>
        <v>0</v>
      </c>
      <c r="BL185" s="6" t="s">
        <v>219</v>
      </c>
    </row>
    <row r="186" spans="2:51" s="6" customFormat="1" ht="15.75" customHeight="1">
      <c r="B186" s="130"/>
      <c r="E186" s="131"/>
      <c r="F186" s="209" t="s">
        <v>290</v>
      </c>
      <c r="G186" s="210"/>
      <c r="H186" s="210"/>
      <c r="I186" s="210"/>
      <c r="K186" s="132">
        <v>47.88</v>
      </c>
      <c r="R186" s="133"/>
      <c r="T186" s="134"/>
      <c r="AA186" s="135"/>
      <c r="AT186" s="131" t="s">
        <v>173</v>
      </c>
      <c r="AU186" s="131" t="s">
        <v>141</v>
      </c>
      <c r="AV186" s="131" t="s">
        <v>141</v>
      </c>
      <c r="AW186" s="131" t="s">
        <v>125</v>
      </c>
      <c r="AX186" s="131" t="s">
        <v>17</v>
      </c>
      <c r="AY186" s="131" t="s">
        <v>163</v>
      </c>
    </row>
    <row r="187" spans="2:63" s="113" customFormat="1" ht="30.75" customHeight="1">
      <c r="B187" s="114"/>
      <c r="D187" s="122" t="s">
        <v>136</v>
      </c>
      <c r="N187" s="223">
        <f>$BK$187</f>
        <v>0</v>
      </c>
      <c r="O187" s="222"/>
      <c r="P187" s="222"/>
      <c r="Q187" s="222"/>
      <c r="R187" s="117"/>
      <c r="T187" s="118"/>
      <c r="W187" s="119">
        <f>SUM($W$188:$W$198)</f>
        <v>73.559048</v>
      </c>
      <c r="Y187" s="119">
        <f>SUM($Y$188:$Y$198)</f>
        <v>0.196794935</v>
      </c>
      <c r="AA187" s="120">
        <f>SUM($AA$188:$AA$198)</f>
        <v>0.08880719999999999</v>
      </c>
      <c r="AR187" s="116" t="s">
        <v>141</v>
      </c>
      <c r="AT187" s="116" t="s">
        <v>74</v>
      </c>
      <c r="AU187" s="116" t="s">
        <v>17</v>
      </c>
      <c r="AY187" s="116" t="s">
        <v>163</v>
      </c>
      <c r="BK187" s="121">
        <f>SUM($BK$188:$BK$198)</f>
        <v>0</v>
      </c>
    </row>
    <row r="188" spans="2:64" s="6" customFormat="1" ht="27" customHeight="1">
      <c r="B188" s="21"/>
      <c r="C188" s="123" t="s">
        <v>291</v>
      </c>
      <c r="D188" s="123" t="s">
        <v>164</v>
      </c>
      <c r="E188" s="124" t="s">
        <v>292</v>
      </c>
      <c r="F188" s="205" t="s">
        <v>293</v>
      </c>
      <c r="G188" s="206"/>
      <c r="H188" s="206"/>
      <c r="I188" s="206"/>
      <c r="J188" s="125" t="s">
        <v>171</v>
      </c>
      <c r="K188" s="126">
        <v>592.048</v>
      </c>
      <c r="L188" s="207">
        <v>0</v>
      </c>
      <c r="M188" s="206"/>
      <c r="N188" s="208">
        <f>ROUND($L$188*$K$188,2)</f>
        <v>0</v>
      </c>
      <c r="O188" s="206"/>
      <c r="P188" s="206"/>
      <c r="Q188" s="206"/>
      <c r="R188" s="22"/>
      <c r="T188" s="127"/>
      <c r="U188" s="28" t="s">
        <v>42</v>
      </c>
      <c r="V188" s="128">
        <v>0.035</v>
      </c>
      <c r="W188" s="128">
        <f>$V$188*$K$188</f>
        <v>20.721680000000003</v>
      </c>
      <c r="X188" s="128">
        <v>0</v>
      </c>
      <c r="Y188" s="128">
        <f>$X$188*$K$188</f>
        <v>0</v>
      </c>
      <c r="Z188" s="128">
        <v>0.00015</v>
      </c>
      <c r="AA188" s="129">
        <f>$Z$188*$K$188</f>
        <v>0.08880719999999999</v>
      </c>
      <c r="AR188" s="6" t="s">
        <v>219</v>
      </c>
      <c r="AT188" s="6" t="s">
        <v>164</v>
      </c>
      <c r="AU188" s="6" t="s">
        <v>141</v>
      </c>
      <c r="AY188" s="6" t="s">
        <v>163</v>
      </c>
      <c r="BE188" s="82">
        <f>IF($U$188="základní",$N$188,0)</f>
        <v>0</v>
      </c>
      <c r="BF188" s="82">
        <f>IF($U$188="snížená",$N$188,0)</f>
        <v>0</v>
      </c>
      <c r="BG188" s="82">
        <f>IF($U$188="zákl. přenesená",$N$188,0)</f>
        <v>0</v>
      </c>
      <c r="BH188" s="82">
        <f>IF($U$188="sníž. přenesená",$N$188,0)</f>
        <v>0</v>
      </c>
      <c r="BI188" s="82">
        <f>IF($U$188="nulová",$N$188,0)</f>
        <v>0</v>
      </c>
      <c r="BJ188" s="6" t="s">
        <v>141</v>
      </c>
      <c r="BK188" s="82">
        <f>ROUND($L$188*$K$188,2)</f>
        <v>0</v>
      </c>
      <c r="BL188" s="6" t="s">
        <v>219</v>
      </c>
    </row>
    <row r="189" spans="2:51" s="6" customFormat="1" ht="27" customHeight="1">
      <c r="B189" s="130"/>
      <c r="E189" s="131"/>
      <c r="F189" s="209" t="s">
        <v>294</v>
      </c>
      <c r="G189" s="210"/>
      <c r="H189" s="210"/>
      <c r="I189" s="210"/>
      <c r="K189" s="132">
        <v>345.52</v>
      </c>
      <c r="R189" s="133"/>
      <c r="T189" s="134"/>
      <c r="AA189" s="135"/>
      <c r="AT189" s="131" t="s">
        <v>173</v>
      </c>
      <c r="AU189" s="131" t="s">
        <v>141</v>
      </c>
      <c r="AV189" s="131" t="s">
        <v>141</v>
      </c>
      <c r="AW189" s="131" t="s">
        <v>125</v>
      </c>
      <c r="AX189" s="131" t="s">
        <v>75</v>
      </c>
      <c r="AY189" s="131" t="s">
        <v>163</v>
      </c>
    </row>
    <row r="190" spans="2:51" s="6" customFormat="1" ht="27" customHeight="1">
      <c r="B190" s="130"/>
      <c r="E190" s="131"/>
      <c r="F190" s="209" t="s">
        <v>295</v>
      </c>
      <c r="G190" s="210"/>
      <c r="H190" s="210"/>
      <c r="I190" s="210"/>
      <c r="K190" s="132">
        <v>112.84</v>
      </c>
      <c r="R190" s="133"/>
      <c r="T190" s="134"/>
      <c r="AA190" s="135"/>
      <c r="AT190" s="131" t="s">
        <v>173</v>
      </c>
      <c r="AU190" s="131" t="s">
        <v>141</v>
      </c>
      <c r="AV190" s="131" t="s">
        <v>141</v>
      </c>
      <c r="AW190" s="131" t="s">
        <v>125</v>
      </c>
      <c r="AX190" s="131" t="s">
        <v>75</v>
      </c>
      <c r="AY190" s="131" t="s">
        <v>163</v>
      </c>
    </row>
    <row r="191" spans="2:51" s="6" customFormat="1" ht="15.75" customHeight="1">
      <c r="B191" s="147"/>
      <c r="E191" s="148"/>
      <c r="F191" s="217" t="s">
        <v>296</v>
      </c>
      <c r="G191" s="218"/>
      <c r="H191" s="218"/>
      <c r="I191" s="218"/>
      <c r="K191" s="149">
        <v>458.36</v>
      </c>
      <c r="R191" s="150"/>
      <c r="T191" s="151"/>
      <c r="AA191" s="152"/>
      <c r="AT191" s="148" t="s">
        <v>173</v>
      </c>
      <c r="AU191" s="148" t="s">
        <v>141</v>
      </c>
      <c r="AV191" s="148" t="s">
        <v>174</v>
      </c>
      <c r="AW191" s="148" t="s">
        <v>125</v>
      </c>
      <c r="AX191" s="148" t="s">
        <v>75</v>
      </c>
      <c r="AY191" s="148" t="s">
        <v>163</v>
      </c>
    </row>
    <row r="192" spans="2:51" s="6" customFormat="1" ht="15.75" customHeight="1">
      <c r="B192" s="130"/>
      <c r="E192" s="131"/>
      <c r="F192" s="209" t="s">
        <v>297</v>
      </c>
      <c r="G192" s="210"/>
      <c r="H192" s="210"/>
      <c r="I192" s="210"/>
      <c r="K192" s="132">
        <v>133.688</v>
      </c>
      <c r="R192" s="133"/>
      <c r="T192" s="134"/>
      <c r="AA192" s="135"/>
      <c r="AT192" s="131" t="s">
        <v>173</v>
      </c>
      <c r="AU192" s="131" t="s">
        <v>141</v>
      </c>
      <c r="AV192" s="131" t="s">
        <v>141</v>
      </c>
      <c r="AW192" s="131" t="s">
        <v>125</v>
      </c>
      <c r="AX192" s="131" t="s">
        <v>75</v>
      </c>
      <c r="AY192" s="131" t="s">
        <v>163</v>
      </c>
    </row>
    <row r="193" spans="2:51" s="6" customFormat="1" ht="15.75" customHeight="1">
      <c r="B193" s="141"/>
      <c r="E193" s="142"/>
      <c r="F193" s="215" t="s">
        <v>286</v>
      </c>
      <c r="G193" s="216"/>
      <c r="H193" s="216"/>
      <c r="I193" s="216"/>
      <c r="K193" s="143">
        <v>592.048</v>
      </c>
      <c r="R193" s="144"/>
      <c r="T193" s="145"/>
      <c r="AA193" s="146"/>
      <c r="AT193" s="142" t="s">
        <v>173</v>
      </c>
      <c r="AU193" s="142" t="s">
        <v>141</v>
      </c>
      <c r="AV193" s="142" t="s">
        <v>168</v>
      </c>
      <c r="AW193" s="142" t="s">
        <v>125</v>
      </c>
      <c r="AX193" s="142" t="s">
        <v>17</v>
      </c>
      <c r="AY193" s="142" t="s">
        <v>163</v>
      </c>
    </row>
    <row r="194" spans="2:64" s="6" customFormat="1" ht="27" customHeight="1">
      <c r="B194" s="21"/>
      <c r="C194" s="123" t="s">
        <v>298</v>
      </c>
      <c r="D194" s="123" t="s">
        <v>164</v>
      </c>
      <c r="E194" s="124" t="s">
        <v>299</v>
      </c>
      <c r="F194" s="205" t="s">
        <v>300</v>
      </c>
      <c r="G194" s="206"/>
      <c r="H194" s="206"/>
      <c r="I194" s="206"/>
      <c r="J194" s="125" t="s">
        <v>171</v>
      </c>
      <c r="K194" s="126">
        <v>78.3</v>
      </c>
      <c r="L194" s="207">
        <v>0</v>
      </c>
      <c r="M194" s="206"/>
      <c r="N194" s="208">
        <f>ROUND($L$194*$K$194,2)</f>
        <v>0</v>
      </c>
      <c r="O194" s="206"/>
      <c r="P194" s="206"/>
      <c r="Q194" s="206"/>
      <c r="R194" s="22"/>
      <c r="T194" s="127"/>
      <c r="U194" s="28" t="s">
        <v>42</v>
      </c>
      <c r="V194" s="128">
        <v>0.016</v>
      </c>
      <c r="W194" s="128">
        <f>$V$194*$K$194</f>
        <v>1.2528</v>
      </c>
      <c r="X194" s="128">
        <v>0</v>
      </c>
      <c r="Y194" s="128">
        <f>$X$194*$K$194</f>
        <v>0</v>
      </c>
      <c r="Z194" s="128">
        <v>0</v>
      </c>
      <c r="AA194" s="129">
        <f>$Z$194*$K$194</f>
        <v>0</v>
      </c>
      <c r="AR194" s="6" t="s">
        <v>219</v>
      </c>
      <c r="AT194" s="6" t="s">
        <v>164</v>
      </c>
      <c r="AU194" s="6" t="s">
        <v>141</v>
      </c>
      <c r="AY194" s="6" t="s">
        <v>163</v>
      </c>
      <c r="BE194" s="82">
        <f>IF($U$194="základní",$N$194,0)</f>
        <v>0</v>
      </c>
      <c r="BF194" s="82">
        <f>IF($U$194="snížená",$N$194,0)</f>
        <v>0</v>
      </c>
      <c r="BG194" s="82">
        <f>IF($U$194="zákl. přenesená",$N$194,0)</f>
        <v>0</v>
      </c>
      <c r="BH194" s="82">
        <f>IF($U$194="sníž. přenesená",$N$194,0)</f>
        <v>0</v>
      </c>
      <c r="BI194" s="82">
        <f>IF($U$194="nulová",$N$194,0)</f>
        <v>0</v>
      </c>
      <c r="BJ194" s="6" t="s">
        <v>141</v>
      </c>
      <c r="BK194" s="82">
        <f>ROUND($L$194*$K$194,2)</f>
        <v>0</v>
      </c>
      <c r="BL194" s="6" t="s">
        <v>219</v>
      </c>
    </row>
    <row r="195" spans="2:64" s="6" customFormat="1" ht="27" customHeight="1">
      <c r="B195" s="21"/>
      <c r="C195" s="136" t="s">
        <v>301</v>
      </c>
      <c r="D195" s="136" t="s">
        <v>190</v>
      </c>
      <c r="E195" s="137" t="s">
        <v>302</v>
      </c>
      <c r="F195" s="211" t="s">
        <v>303</v>
      </c>
      <c r="G195" s="212"/>
      <c r="H195" s="212"/>
      <c r="I195" s="212"/>
      <c r="J195" s="138" t="s">
        <v>171</v>
      </c>
      <c r="K195" s="139">
        <v>82.215</v>
      </c>
      <c r="L195" s="213">
        <v>0</v>
      </c>
      <c r="M195" s="212"/>
      <c r="N195" s="214">
        <f>ROUND($L$195*$K$195,2)</f>
        <v>0</v>
      </c>
      <c r="O195" s="206"/>
      <c r="P195" s="206"/>
      <c r="Q195" s="206"/>
      <c r="R195" s="22"/>
      <c r="T195" s="127"/>
      <c r="U195" s="28" t="s">
        <v>42</v>
      </c>
      <c r="V195" s="128">
        <v>0</v>
      </c>
      <c r="W195" s="128">
        <f>$V$195*$K$195</f>
        <v>0</v>
      </c>
      <c r="X195" s="128">
        <v>1E-06</v>
      </c>
      <c r="Y195" s="128">
        <f>$X$195*$K$195</f>
        <v>8.2215E-05</v>
      </c>
      <c r="Z195" s="128">
        <v>0</v>
      </c>
      <c r="AA195" s="129">
        <f>$Z$195*$K$195</f>
        <v>0</v>
      </c>
      <c r="AR195" s="6" t="s">
        <v>263</v>
      </c>
      <c r="AT195" s="6" t="s">
        <v>190</v>
      </c>
      <c r="AU195" s="6" t="s">
        <v>141</v>
      </c>
      <c r="AY195" s="6" t="s">
        <v>163</v>
      </c>
      <c r="BE195" s="82">
        <f>IF($U$195="základní",$N$195,0)</f>
        <v>0</v>
      </c>
      <c r="BF195" s="82">
        <f>IF($U$195="snížená",$N$195,0)</f>
        <v>0</v>
      </c>
      <c r="BG195" s="82">
        <f>IF($U$195="zákl. přenesená",$N$195,0)</f>
        <v>0</v>
      </c>
      <c r="BH195" s="82">
        <f>IF($U$195="sníž. přenesená",$N$195,0)</f>
        <v>0</v>
      </c>
      <c r="BI195" s="82">
        <f>IF($U$195="nulová",$N$195,0)</f>
        <v>0</v>
      </c>
      <c r="BJ195" s="6" t="s">
        <v>141</v>
      </c>
      <c r="BK195" s="82">
        <f>ROUND($L$195*$K$195,2)</f>
        <v>0</v>
      </c>
      <c r="BL195" s="6" t="s">
        <v>219</v>
      </c>
    </row>
    <row r="196" spans="2:64" s="6" customFormat="1" ht="27" customHeight="1">
      <c r="B196" s="21"/>
      <c r="C196" s="123" t="s">
        <v>304</v>
      </c>
      <c r="D196" s="123" t="s">
        <v>164</v>
      </c>
      <c r="E196" s="124" t="s">
        <v>305</v>
      </c>
      <c r="F196" s="205" t="s">
        <v>306</v>
      </c>
      <c r="G196" s="206"/>
      <c r="H196" s="206"/>
      <c r="I196" s="206"/>
      <c r="J196" s="125" t="s">
        <v>171</v>
      </c>
      <c r="K196" s="126">
        <v>592.048</v>
      </c>
      <c r="L196" s="207">
        <v>0</v>
      </c>
      <c r="M196" s="206"/>
      <c r="N196" s="208">
        <f>ROUND($L$196*$K$196,2)</f>
        <v>0</v>
      </c>
      <c r="O196" s="206"/>
      <c r="P196" s="206"/>
      <c r="Q196" s="206"/>
      <c r="R196" s="22"/>
      <c r="T196" s="127"/>
      <c r="U196" s="28" t="s">
        <v>42</v>
      </c>
      <c r="V196" s="128">
        <v>0.033</v>
      </c>
      <c r="W196" s="128">
        <f>$V$196*$K$196</f>
        <v>19.537584000000003</v>
      </c>
      <c r="X196" s="128">
        <v>0.0002</v>
      </c>
      <c r="Y196" s="128">
        <f>$X$196*$K$196</f>
        <v>0.1184096</v>
      </c>
      <c r="Z196" s="128">
        <v>0</v>
      </c>
      <c r="AA196" s="129">
        <f>$Z$196*$K$196</f>
        <v>0</v>
      </c>
      <c r="AR196" s="6" t="s">
        <v>219</v>
      </c>
      <c r="AT196" s="6" t="s">
        <v>164</v>
      </c>
      <c r="AU196" s="6" t="s">
        <v>141</v>
      </c>
      <c r="AY196" s="6" t="s">
        <v>163</v>
      </c>
      <c r="BE196" s="82">
        <f>IF($U$196="základní",$N$196,0)</f>
        <v>0</v>
      </c>
      <c r="BF196" s="82">
        <f>IF($U$196="snížená",$N$196,0)</f>
        <v>0</v>
      </c>
      <c r="BG196" s="82">
        <f>IF($U$196="zákl. přenesená",$N$196,0)</f>
        <v>0</v>
      </c>
      <c r="BH196" s="82">
        <f>IF($U$196="sníž. přenesená",$N$196,0)</f>
        <v>0</v>
      </c>
      <c r="BI196" s="82">
        <f>IF($U$196="nulová",$N$196,0)</f>
        <v>0</v>
      </c>
      <c r="BJ196" s="6" t="s">
        <v>141</v>
      </c>
      <c r="BK196" s="82">
        <f>ROUND($L$196*$K$196,2)</f>
        <v>0</v>
      </c>
      <c r="BL196" s="6" t="s">
        <v>219</v>
      </c>
    </row>
    <row r="197" spans="2:64" s="6" customFormat="1" ht="27" customHeight="1">
      <c r="B197" s="21"/>
      <c r="C197" s="123" t="s">
        <v>307</v>
      </c>
      <c r="D197" s="123" t="s">
        <v>164</v>
      </c>
      <c r="E197" s="124" t="s">
        <v>308</v>
      </c>
      <c r="F197" s="205" t="s">
        <v>309</v>
      </c>
      <c r="G197" s="206"/>
      <c r="H197" s="206"/>
      <c r="I197" s="206"/>
      <c r="J197" s="125" t="s">
        <v>171</v>
      </c>
      <c r="K197" s="126">
        <v>133.688</v>
      </c>
      <c r="L197" s="207">
        <v>0</v>
      </c>
      <c r="M197" s="206"/>
      <c r="N197" s="208">
        <f>ROUND($L$197*$K$197,2)</f>
        <v>0</v>
      </c>
      <c r="O197" s="206"/>
      <c r="P197" s="206"/>
      <c r="Q197" s="206"/>
      <c r="R197" s="22"/>
      <c r="T197" s="127"/>
      <c r="U197" s="28" t="s">
        <v>42</v>
      </c>
      <c r="V197" s="128">
        <v>0.005</v>
      </c>
      <c r="W197" s="128">
        <f>$V$197*$K$197</f>
        <v>0.6684399999999999</v>
      </c>
      <c r="X197" s="128">
        <v>1E-05</v>
      </c>
      <c r="Y197" s="128">
        <f>$X$197*$K$197</f>
        <v>0.00133688</v>
      </c>
      <c r="Z197" s="128">
        <v>0</v>
      </c>
      <c r="AA197" s="129">
        <f>$Z$197*$K$197</f>
        <v>0</v>
      </c>
      <c r="AR197" s="6" t="s">
        <v>219</v>
      </c>
      <c r="AT197" s="6" t="s">
        <v>164</v>
      </c>
      <c r="AU197" s="6" t="s">
        <v>141</v>
      </c>
      <c r="AY197" s="6" t="s">
        <v>163</v>
      </c>
      <c r="BE197" s="82">
        <f>IF($U$197="základní",$N$197,0)</f>
        <v>0</v>
      </c>
      <c r="BF197" s="82">
        <f>IF($U$197="snížená",$N$197,0)</f>
        <v>0</v>
      </c>
      <c r="BG197" s="82">
        <f>IF($U$197="zákl. přenesená",$N$197,0)</f>
        <v>0</v>
      </c>
      <c r="BH197" s="82">
        <f>IF($U$197="sníž. přenesená",$N$197,0)</f>
        <v>0</v>
      </c>
      <c r="BI197" s="82">
        <f>IF($U$197="nulová",$N$197,0)</f>
        <v>0</v>
      </c>
      <c r="BJ197" s="6" t="s">
        <v>141</v>
      </c>
      <c r="BK197" s="82">
        <f>ROUND($L$197*$K$197,2)</f>
        <v>0</v>
      </c>
      <c r="BL197" s="6" t="s">
        <v>219</v>
      </c>
    </row>
    <row r="198" spans="2:64" s="6" customFormat="1" ht="39" customHeight="1">
      <c r="B198" s="21"/>
      <c r="C198" s="123" t="s">
        <v>310</v>
      </c>
      <c r="D198" s="123" t="s">
        <v>164</v>
      </c>
      <c r="E198" s="124" t="s">
        <v>311</v>
      </c>
      <c r="F198" s="205" t="s">
        <v>312</v>
      </c>
      <c r="G198" s="206"/>
      <c r="H198" s="206"/>
      <c r="I198" s="206"/>
      <c r="J198" s="125" t="s">
        <v>171</v>
      </c>
      <c r="K198" s="126">
        <v>592.048</v>
      </c>
      <c r="L198" s="207">
        <v>0</v>
      </c>
      <c r="M198" s="206"/>
      <c r="N198" s="208">
        <f>ROUND($L$198*$K$198,2)</f>
        <v>0</v>
      </c>
      <c r="O198" s="206"/>
      <c r="P198" s="206"/>
      <c r="Q198" s="206"/>
      <c r="R198" s="22"/>
      <c r="T198" s="127"/>
      <c r="U198" s="28" t="s">
        <v>42</v>
      </c>
      <c r="V198" s="128">
        <v>0.053</v>
      </c>
      <c r="W198" s="128">
        <f>$V$198*$K$198</f>
        <v>31.378543999999998</v>
      </c>
      <c r="X198" s="128">
        <v>0.00013</v>
      </c>
      <c r="Y198" s="128">
        <f>$X$198*$K$198</f>
        <v>0.07696623999999999</v>
      </c>
      <c r="Z198" s="128">
        <v>0</v>
      </c>
      <c r="AA198" s="129">
        <f>$Z$198*$K$198</f>
        <v>0</v>
      </c>
      <c r="AR198" s="6" t="s">
        <v>219</v>
      </c>
      <c r="AT198" s="6" t="s">
        <v>164</v>
      </c>
      <c r="AU198" s="6" t="s">
        <v>141</v>
      </c>
      <c r="AY198" s="6" t="s">
        <v>163</v>
      </c>
      <c r="BE198" s="82">
        <f>IF($U$198="základní",$N$198,0)</f>
        <v>0</v>
      </c>
      <c r="BF198" s="82">
        <f>IF($U$198="snížená",$N$198,0)</f>
        <v>0</v>
      </c>
      <c r="BG198" s="82">
        <f>IF($U$198="zákl. přenesená",$N$198,0)</f>
        <v>0</v>
      </c>
      <c r="BH198" s="82">
        <f>IF($U$198="sníž. přenesená",$N$198,0)</f>
        <v>0</v>
      </c>
      <c r="BI198" s="82">
        <f>IF($U$198="nulová",$N$198,0)</f>
        <v>0</v>
      </c>
      <c r="BJ198" s="6" t="s">
        <v>141</v>
      </c>
      <c r="BK198" s="82">
        <f>ROUND($L$198*$K$198,2)</f>
        <v>0</v>
      </c>
      <c r="BL198" s="6" t="s">
        <v>219</v>
      </c>
    </row>
    <row r="199" spans="2:63" s="6" customFormat="1" ht="51" customHeight="1">
      <c r="B199" s="21"/>
      <c r="D199" s="115" t="s">
        <v>313</v>
      </c>
      <c r="N199" s="201">
        <f>$BK$199</f>
        <v>0</v>
      </c>
      <c r="O199" s="161"/>
      <c r="P199" s="161"/>
      <c r="Q199" s="161"/>
      <c r="R199" s="22"/>
      <c r="T199" s="53"/>
      <c r="AA199" s="54"/>
      <c r="AT199" s="6" t="s">
        <v>74</v>
      </c>
      <c r="AU199" s="6" t="s">
        <v>75</v>
      </c>
      <c r="AY199" s="6" t="s">
        <v>314</v>
      </c>
      <c r="BK199" s="82">
        <f>SUM($BK$200:$BK$204)</f>
        <v>0</v>
      </c>
    </row>
    <row r="200" spans="2:63" s="6" customFormat="1" ht="23.25" customHeight="1">
      <c r="B200" s="21"/>
      <c r="C200" s="153"/>
      <c r="D200" s="153" t="s">
        <v>164</v>
      </c>
      <c r="E200" s="154"/>
      <c r="F200" s="219"/>
      <c r="G200" s="220"/>
      <c r="H200" s="220"/>
      <c r="I200" s="220"/>
      <c r="J200" s="155"/>
      <c r="K200" s="140"/>
      <c r="L200" s="207"/>
      <c r="M200" s="206"/>
      <c r="N200" s="208">
        <f>$BK$200</f>
        <v>0</v>
      </c>
      <c r="O200" s="206"/>
      <c r="P200" s="206"/>
      <c r="Q200" s="206"/>
      <c r="R200" s="22"/>
      <c r="T200" s="127"/>
      <c r="U200" s="156" t="s">
        <v>42</v>
      </c>
      <c r="AA200" s="54"/>
      <c r="AT200" s="6" t="s">
        <v>314</v>
      </c>
      <c r="AU200" s="6" t="s">
        <v>17</v>
      </c>
      <c r="AY200" s="6" t="s">
        <v>314</v>
      </c>
      <c r="BE200" s="82">
        <f>IF($U$200="základní",$N$200,0)</f>
        <v>0</v>
      </c>
      <c r="BF200" s="82">
        <f>IF($U$200="snížená",$N$200,0)</f>
        <v>0</v>
      </c>
      <c r="BG200" s="82">
        <f>IF($U$200="zákl. přenesená",$N$200,0)</f>
        <v>0</v>
      </c>
      <c r="BH200" s="82">
        <f>IF($U$200="sníž. přenesená",$N$200,0)</f>
        <v>0</v>
      </c>
      <c r="BI200" s="82">
        <f>IF($U$200="nulová",$N$200,0)</f>
        <v>0</v>
      </c>
      <c r="BJ200" s="6" t="s">
        <v>141</v>
      </c>
      <c r="BK200" s="82">
        <f>$L$200*$K$200</f>
        <v>0</v>
      </c>
    </row>
    <row r="201" spans="2:63" s="6" customFormat="1" ht="23.25" customHeight="1">
      <c r="B201" s="21"/>
      <c r="C201" s="153"/>
      <c r="D201" s="153" t="s">
        <v>164</v>
      </c>
      <c r="E201" s="154"/>
      <c r="F201" s="219"/>
      <c r="G201" s="220"/>
      <c r="H201" s="220"/>
      <c r="I201" s="220"/>
      <c r="J201" s="155"/>
      <c r="K201" s="140"/>
      <c r="L201" s="207"/>
      <c r="M201" s="206"/>
      <c r="N201" s="208">
        <f>$BK$201</f>
        <v>0</v>
      </c>
      <c r="O201" s="206"/>
      <c r="P201" s="206"/>
      <c r="Q201" s="206"/>
      <c r="R201" s="22"/>
      <c r="T201" s="127"/>
      <c r="U201" s="156" t="s">
        <v>42</v>
      </c>
      <c r="AA201" s="54"/>
      <c r="AT201" s="6" t="s">
        <v>314</v>
      </c>
      <c r="AU201" s="6" t="s">
        <v>17</v>
      </c>
      <c r="AY201" s="6" t="s">
        <v>314</v>
      </c>
      <c r="BE201" s="82">
        <f>IF($U$201="základní",$N$201,0)</f>
        <v>0</v>
      </c>
      <c r="BF201" s="82">
        <f>IF($U$201="snížená",$N$201,0)</f>
        <v>0</v>
      </c>
      <c r="BG201" s="82">
        <f>IF($U$201="zákl. přenesená",$N$201,0)</f>
        <v>0</v>
      </c>
      <c r="BH201" s="82">
        <f>IF($U$201="sníž. přenesená",$N$201,0)</f>
        <v>0</v>
      </c>
      <c r="BI201" s="82">
        <f>IF($U$201="nulová",$N$201,0)</f>
        <v>0</v>
      </c>
      <c r="BJ201" s="6" t="s">
        <v>141</v>
      </c>
      <c r="BK201" s="82">
        <f>$L$201*$K$201</f>
        <v>0</v>
      </c>
    </row>
    <row r="202" spans="2:63" s="6" customFormat="1" ht="23.25" customHeight="1">
      <c r="B202" s="21"/>
      <c r="C202" s="153"/>
      <c r="D202" s="153" t="s">
        <v>164</v>
      </c>
      <c r="E202" s="154"/>
      <c r="F202" s="219"/>
      <c r="G202" s="220"/>
      <c r="H202" s="220"/>
      <c r="I202" s="220"/>
      <c r="J202" s="155"/>
      <c r="K202" s="140"/>
      <c r="L202" s="207"/>
      <c r="M202" s="206"/>
      <c r="N202" s="208">
        <f>$BK$202</f>
        <v>0</v>
      </c>
      <c r="O202" s="206"/>
      <c r="P202" s="206"/>
      <c r="Q202" s="206"/>
      <c r="R202" s="22"/>
      <c r="T202" s="127"/>
      <c r="U202" s="156" t="s">
        <v>42</v>
      </c>
      <c r="AA202" s="54"/>
      <c r="AT202" s="6" t="s">
        <v>314</v>
      </c>
      <c r="AU202" s="6" t="s">
        <v>17</v>
      </c>
      <c r="AY202" s="6" t="s">
        <v>314</v>
      </c>
      <c r="BE202" s="82">
        <f>IF($U$202="základní",$N$202,0)</f>
        <v>0</v>
      </c>
      <c r="BF202" s="82">
        <f>IF($U$202="snížená",$N$202,0)</f>
        <v>0</v>
      </c>
      <c r="BG202" s="82">
        <f>IF($U$202="zákl. přenesená",$N$202,0)</f>
        <v>0</v>
      </c>
      <c r="BH202" s="82">
        <f>IF($U$202="sníž. přenesená",$N$202,0)</f>
        <v>0</v>
      </c>
      <c r="BI202" s="82">
        <f>IF($U$202="nulová",$N$202,0)</f>
        <v>0</v>
      </c>
      <c r="BJ202" s="6" t="s">
        <v>141</v>
      </c>
      <c r="BK202" s="82">
        <f>$L$202*$K$202</f>
        <v>0</v>
      </c>
    </row>
    <row r="203" spans="2:63" s="6" customFormat="1" ht="23.25" customHeight="1">
      <c r="B203" s="21"/>
      <c r="C203" s="153"/>
      <c r="D203" s="153" t="s">
        <v>164</v>
      </c>
      <c r="E203" s="154"/>
      <c r="F203" s="219"/>
      <c r="G203" s="220"/>
      <c r="H203" s="220"/>
      <c r="I203" s="220"/>
      <c r="J203" s="155"/>
      <c r="K203" s="140"/>
      <c r="L203" s="207"/>
      <c r="M203" s="206"/>
      <c r="N203" s="208">
        <f>$BK$203</f>
        <v>0</v>
      </c>
      <c r="O203" s="206"/>
      <c r="P203" s="206"/>
      <c r="Q203" s="206"/>
      <c r="R203" s="22"/>
      <c r="T203" s="127"/>
      <c r="U203" s="156" t="s">
        <v>42</v>
      </c>
      <c r="AA203" s="54"/>
      <c r="AT203" s="6" t="s">
        <v>314</v>
      </c>
      <c r="AU203" s="6" t="s">
        <v>17</v>
      </c>
      <c r="AY203" s="6" t="s">
        <v>314</v>
      </c>
      <c r="BE203" s="82">
        <f>IF($U$203="základní",$N$203,0)</f>
        <v>0</v>
      </c>
      <c r="BF203" s="82">
        <f>IF($U$203="snížená",$N$203,0)</f>
        <v>0</v>
      </c>
      <c r="BG203" s="82">
        <f>IF($U$203="zákl. přenesená",$N$203,0)</f>
        <v>0</v>
      </c>
      <c r="BH203" s="82">
        <f>IF($U$203="sníž. přenesená",$N$203,0)</f>
        <v>0</v>
      </c>
      <c r="BI203" s="82">
        <f>IF($U$203="nulová",$N$203,0)</f>
        <v>0</v>
      </c>
      <c r="BJ203" s="6" t="s">
        <v>141</v>
      </c>
      <c r="BK203" s="82">
        <f>$L$203*$K$203</f>
        <v>0</v>
      </c>
    </row>
    <row r="204" spans="2:63" s="6" customFormat="1" ht="23.25" customHeight="1">
      <c r="B204" s="21"/>
      <c r="C204" s="153"/>
      <c r="D204" s="153" t="s">
        <v>164</v>
      </c>
      <c r="E204" s="154"/>
      <c r="F204" s="219"/>
      <c r="G204" s="220"/>
      <c r="H204" s="220"/>
      <c r="I204" s="220"/>
      <c r="J204" s="155"/>
      <c r="K204" s="140"/>
      <c r="L204" s="207"/>
      <c r="M204" s="206"/>
      <c r="N204" s="208">
        <f>$BK$204</f>
        <v>0</v>
      </c>
      <c r="O204" s="206"/>
      <c r="P204" s="206"/>
      <c r="Q204" s="206"/>
      <c r="R204" s="22"/>
      <c r="T204" s="127"/>
      <c r="U204" s="156" t="s">
        <v>42</v>
      </c>
      <c r="V204" s="40"/>
      <c r="W204" s="40"/>
      <c r="X204" s="40"/>
      <c r="Y204" s="40"/>
      <c r="Z204" s="40"/>
      <c r="AA204" s="42"/>
      <c r="AT204" s="6" t="s">
        <v>314</v>
      </c>
      <c r="AU204" s="6" t="s">
        <v>17</v>
      </c>
      <c r="AY204" s="6" t="s">
        <v>314</v>
      </c>
      <c r="BE204" s="82">
        <f>IF($U$204="základní",$N$204,0)</f>
        <v>0</v>
      </c>
      <c r="BF204" s="82">
        <f>IF($U$204="snížená",$N$204,0)</f>
        <v>0</v>
      </c>
      <c r="BG204" s="82">
        <f>IF($U$204="zákl. přenesená",$N$204,0)</f>
        <v>0</v>
      </c>
      <c r="BH204" s="82">
        <f>IF($U$204="sníž. přenesená",$N$204,0)</f>
        <v>0</v>
      </c>
      <c r="BI204" s="82">
        <f>IF($U$204="nulová",$N$204,0)</f>
        <v>0</v>
      </c>
      <c r="BJ204" s="6" t="s">
        <v>141</v>
      </c>
      <c r="BK204" s="82">
        <f>$L$204*$K$204</f>
        <v>0</v>
      </c>
    </row>
    <row r="205" spans="2:18" s="6" customFormat="1" ht="7.5" customHeight="1">
      <c r="B205" s="43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5"/>
    </row>
    <row r="206" s="2" customFormat="1" ht="14.25" customHeight="1"/>
  </sheetData>
  <sheetProtection/>
  <mergeCells count="247">
    <mergeCell ref="N171:Q171"/>
    <mergeCell ref="N178:Q178"/>
    <mergeCell ref="N187:Q187"/>
    <mergeCell ref="N199:Q199"/>
    <mergeCell ref="H1:K1"/>
    <mergeCell ref="S2:AC2"/>
    <mergeCell ref="F204:I204"/>
    <mergeCell ref="L204:M204"/>
    <mergeCell ref="N204:Q204"/>
    <mergeCell ref="N127:Q127"/>
    <mergeCell ref="N128:Q128"/>
    <mergeCell ref="N129:Q129"/>
    <mergeCell ref="N135:Q135"/>
    <mergeCell ref="N144:Q144"/>
    <mergeCell ref="N152:Q152"/>
    <mergeCell ref="N159:Q159"/>
    <mergeCell ref="F202:I202"/>
    <mergeCell ref="L202:M202"/>
    <mergeCell ref="N202:Q202"/>
    <mergeCell ref="F203:I203"/>
    <mergeCell ref="L203:M203"/>
    <mergeCell ref="N203:Q203"/>
    <mergeCell ref="F200:I200"/>
    <mergeCell ref="L200:M200"/>
    <mergeCell ref="N200:Q200"/>
    <mergeCell ref="F201:I201"/>
    <mergeCell ref="L201:M201"/>
    <mergeCell ref="N201:Q201"/>
    <mergeCell ref="F197:I197"/>
    <mergeCell ref="L197:M197"/>
    <mergeCell ref="N197:Q197"/>
    <mergeCell ref="F198:I198"/>
    <mergeCell ref="L198:M198"/>
    <mergeCell ref="N198:Q198"/>
    <mergeCell ref="F195:I195"/>
    <mergeCell ref="L195:M195"/>
    <mergeCell ref="N195:Q195"/>
    <mergeCell ref="F196:I196"/>
    <mergeCell ref="L196:M196"/>
    <mergeCell ref="N196:Q196"/>
    <mergeCell ref="F191:I191"/>
    <mergeCell ref="F192:I192"/>
    <mergeCell ref="F193:I193"/>
    <mergeCell ref="F194:I194"/>
    <mergeCell ref="L194:M194"/>
    <mergeCell ref="N194:Q194"/>
    <mergeCell ref="F186:I186"/>
    <mergeCell ref="F188:I188"/>
    <mergeCell ref="L188:M188"/>
    <mergeCell ref="N188:Q188"/>
    <mergeCell ref="F189:I189"/>
    <mergeCell ref="F190:I190"/>
    <mergeCell ref="F182:I182"/>
    <mergeCell ref="L182:M182"/>
    <mergeCell ref="N182:Q182"/>
    <mergeCell ref="F183:I183"/>
    <mergeCell ref="F184:I184"/>
    <mergeCell ref="F185:I185"/>
    <mergeCell ref="L185:M185"/>
    <mergeCell ref="N185:Q185"/>
    <mergeCell ref="F179:I179"/>
    <mergeCell ref="L179:M179"/>
    <mergeCell ref="N179:Q179"/>
    <mergeCell ref="F180:I180"/>
    <mergeCell ref="F181:I181"/>
    <mergeCell ref="L181:M181"/>
    <mergeCell ref="N181:Q181"/>
    <mergeCell ref="F176:I176"/>
    <mergeCell ref="L176:M176"/>
    <mergeCell ref="N176:Q176"/>
    <mergeCell ref="F177:I177"/>
    <mergeCell ref="L177:M177"/>
    <mergeCell ref="N177:Q177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64:I164"/>
    <mergeCell ref="L164:M164"/>
    <mergeCell ref="N164:Q164"/>
    <mergeCell ref="F166:I166"/>
    <mergeCell ref="L166:M166"/>
    <mergeCell ref="N166:Q166"/>
    <mergeCell ref="N165:Q165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61:I161"/>
    <mergeCell ref="L161:M161"/>
    <mergeCell ref="N161:Q161"/>
    <mergeCell ref="N160:Q160"/>
    <mergeCell ref="F155:I155"/>
    <mergeCell ref="L155:M155"/>
    <mergeCell ref="N155:Q155"/>
    <mergeCell ref="F156:I156"/>
    <mergeCell ref="F157:I157"/>
    <mergeCell ref="L157:M157"/>
    <mergeCell ref="N157:Q157"/>
    <mergeCell ref="F151:I151"/>
    <mergeCell ref="F153:I153"/>
    <mergeCell ref="L153:M153"/>
    <mergeCell ref="N153:Q153"/>
    <mergeCell ref="F154:I154"/>
    <mergeCell ref="L154:M154"/>
    <mergeCell ref="N154:Q154"/>
    <mergeCell ref="F147:I147"/>
    <mergeCell ref="F148:I148"/>
    <mergeCell ref="L148:M148"/>
    <mergeCell ref="N148:Q148"/>
    <mergeCell ref="F149:I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2:I142"/>
    <mergeCell ref="L142:M142"/>
    <mergeCell ref="N142:Q142"/>
    <mergeCell ref="F143:I143"/>
    <mergeCell ref="L143:M143"/>
    <mergeCell ref="N143:Q143"/>
    <mergeCell ref="F139:I139"/>
    <mergeCell ref="F140:I140"/>
    <mergeCell ref="L140:M140"/>
    <mergeCell ref="N140:Q140"/>
    <mergeCell ref="F141:I141"/>
    <mergeCell ref="L141:M141"/>
    <mergeCell ref="N141:Q141"/>
    <mergeCell ref="F134:I134"/>
    <mergeCell ref="F136:I136"/>
    <mergeCell ref="L136:M136"/>
    <mergeCell ref="N136:Q136"/>
    <mergeCell ref="F137:I137"/>
    <mergeCell ref="F138:I138"/>
    <mergeCell ref="L138:M138"/>
    <mergeCell ref="N138:Q138"/>
    <mergeCell ref="F131:I131"/>
    <mergeCell ref="L131:M131"/>
    <mergeCell ref="N131:Q131"/>
    <mergeCell ref="F132:I132"/>
    <mergeCell ref="F133:I133"/>
    <mergeCell ref="L133:M133"/>
    <mergeCell ref="N133:Q133"/>
    <mergeCell ref="F126:I126"/>
    <mergeCell ref="L126:M126"/>
    <mergeCell ref="N126:Q126"/>
    <mergeCell ref="F130:I130"/>
    <mergeCell ref="L130:M130"/>
    <mergeCell ref="N130:Q130"/>
    <mergeCell ref="C116:Q116"/>
    <mergeCell ref="F118:P118"/>
    <mergeCell ref="F119:P119"/>
    <mergeCell ref="M121:P121"/>
    <mergeCell ref="M123:Q123"/>
    <mergeCell ref="M124:Q124"/>
    <mergeCell ref="D106:H106"/>
    <mergeCell ref="N106:Q106"/>
    <mergeCell ref="D107:H107"/>
    <mergeCell ref="N107:Q107"/>
    <mergeCell ref="N108:Q108"/>
    <mergeCell ref="L110:Q110"/>
    <mergeCell ref="N102:Q102"/>
    <mergeCell ref="D103:H103"/>
    <mergeCell ref="N103:Q103"/>
    <mergeCell ref="D104:H104"/>
    <mergeCell ref="N104:Q104"/>
    <mergeCell ref="D105:H105"/>
    <mergeCell ref="N105:Q105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200:D205">
      <formula1>"K,M"</formula1>
    </dataValidation>
    <dataValidation type="list" allowBlank="1" showInputMessage="1" showErrorMessage="1" error="Povoleny jsou hodnoty základní, snížená, zákl. přenesená, sníž. přenesená, nulová." sqref="U200:U205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6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29"/>
      <c r="B1" s="226"/>
      <c r="C1" s="226"/>
      <c r="D1" s="227" t="s">
        <v>1</v>
      </c>
      <c r="E1" s="226"/>
      <c r="F1" s="228" t="s">
        <v>431</v>
      </c>
      <c r="G1" s="228"/>
      <c r="H1" s="230" t="s">
        <v>432</v>
      </c>
      <c r="I1" s="230"/>
      <c r="J1" s="230"/>
      <c r="K1" s="230"/>
      <c r="L1" s="228" t="s">
        <v>433</v>
      </c>
      <c r="M1" s="226"/>
      <c r="N1" s="226"/>
      <c r="O1" s="227" t="s">
        <v>116</v>
      </c>
      <c r="P1" s="226"/>
      <c r="Q1" s="226"/>
      <c r="R1" s="226"/>
      <c r="S1" s="228" t="s">
        <v>434</v>
      </c>
      <c r="T1" s="228"/>
      <c r="U1" s="229"/>
      <c r="V1" s="22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7" t="s">
        <v>4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91" t="s">
        <v>5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17</v>
      </c>
    </row>
    <row r="4" spans="2:46" s="2" customFormat="1" ht="37.5" customHeight="1">
      <c r="B4" s="10"/>
      <c r="C4" s="159" t="s">
        <v>117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14</v>
      </c>
      <c r="F6" s="192" t="str">
        <f>'Rekapitulace stavby'!$K$6</f>
        <v>1327 - Stavební úpravy stávajícího objektu - rozdělení sklepních kójí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R6" s="11"/>
    </row>
    <row r="7" spans="2:18" s="6" customFormat="1" ht="18.75" customHeight="1">
      <c r="B7" s="21"/>
      <c r="D7" s="14" t="s">
        <v>118</v>
      </c>
      <c r="F7" s="163" t="s">
        <v>315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  <c r="R7" s="22"/>
    </row>
    <row r="8" spans="2:18" s="6" customFormat="1" ht="7.5" customHeight="1">
      <c r="B8" s="21"/>
      <c r="R8" s="22"/>
    </row>
    <row r="9" spans="2:18" s="6" customFormat="1" ht="15" customHeight="1">
      <c r="B9" s="21"/>
      <c r="D9" s="15" t="s">
        <v>18</v>
      </c>
      <c r="F9" s="16" t="s">
        <v>19</v>
      </c>
      <c r="M9" s="15" t="s">
        <v>20</v>
      </c>
      <c r="O9" s="193" t="str">
        <f>'Rekapitulace stavby'!$AN$8</f>
        <v>08.07.2013</v>
      </c>
      <c r="P9" s="161"/>
      <c r="R9" s="22"/>
    </row>
    <row r="10" spans="2:18" s="6" customFormat="1" ht="7.5" customHeight="1">
      <c r="B10" s="21"/>
      <c r="R10" s="22"/>
    </row>
    <row r="11" spans="2:18" s="6" customFormat="1" ht="15" customHeight="1">
      <c r="B11" s="21"/>
      <c r="D11" s="15" t="s">
        <v>24</v>
      </c>
      <c r="M11" s="15" t="s">
        <v>25</v>
      </c>
      <c r="O11" s="174"/>
      <c r="P11" s="161"/>
      <c r="R11" s="22"/>
    </row>
    <row r="12" spans="2:18" s="6" customFormat="1" ht="18.75" customHeight="1">
      <c r="B12" s="21"/>
      <c r="E12" s="16" t="s">
        <v>26</v>
      </c>
      <c r="M12" s="15" t="s">
        <v>27</v>
      </c>
      <c r="O12" s="174"/>
      <c r="P12" s="161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5" t="s">
        <v>28</v>
      </c>
      <c r="M14" s="15" t="s">
        <v>25</v>
      </c>
      <c r="O14" s="194" t="str">
        <f>IF('Rekapitulace stavby'!$AN$13="","",'Rekapitulace stavby'!$AN$13)</f>
        <v>Vyplň údaj</v>
      </c>
      <c r="P14" s="161"/>
      <c r="R14" s="22"/>
    </row>
    <row r="15" spans="2:18" s="6" customFormat="1" ht="18.75" customHeight="1">
      <c r="B15" s="21"/>
      <c r="E15" s="194" t="str">
        <f>IF('Rekapitulace stavby'!$E$14="","",'Rekapitulace stavby'!$E$14)</f>
        <v>Vyplň údaj</v>
      </c>
      <c r="F15" s="161"/>
      <c r="G15" s="161"/>
      <c r="H15" s="161"/>
      <c r="I15" s="161"/>
      <c r="J15" s="161"/>
      <c r="K15" s="161"/>
      <c r="L15" s="161"/>
      <c r="M15" s="15" t="s">
        <v>27</v>
      </c>
      <c r="O15" s="194" t="str">
        <f>IF('Rekapitulace stavby'!$AN$14="","",'Rekapitulace stavby'!$AN$14)</f>
        <v>Vyplň údaj</v>
      </c>
      <c r="P15" s="161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5" t="s">
        <v>30</v>
      </c>
      <c r="M17" s="15" t="s">
        <v>25</v>
      </c>
      <c r="O17" s="174"/>
      <c r="P17" s="161"/>
      <c r="R17" s="22"/>
    </row>
    <row r="18" spans="2:18" s="6" customFormat="1" ht="18.75" customHeight="1">
      <c r="B18" s="21"/>
      <c r="E18" s="16" t="s">
        <v>31</v>
      </c>
      <c r="M18" s="15" t="s">
        <v>27</v>
      </c>
      <c r="O18" s="174"/>
      <c r="P18" s="161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5" t="s">
        <v>33</v>
      </c>
      <c r="M20" s="15" t="s">
        <v>25</v>
      </c>
      <c r="O20" s="174" t="s">
        <v>34</v>
      </c>
      <c r="P20" s="161"/>
      <c r="R20" s="22"/>
    </row>
    <row r="21" spans="2:18" s="6" customFormat="1" ht="18.75" customHeight="1">
      <c r="B21" s="21"/>
      <c r="E21" s="16" t="s">
        <v>31</v>
      </c>
      <c r="M21" s="15" t="s">
        <v>27</v>
      </c>
      <c r="O21" s="174" t="s">
        <v>35</v>
      </c>
      <c r="P21" s="161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R23" s="22"/>
    </row>
    <row r="24" spans="2:18" s="6" customFormat="1" ht="15" customHeight="1">
      <c r="B24" s="21"/>
      <c r="D24" s="90" t="s">
        <v>120</v>
      </c>
      <c r="M24" s="165">
        <f>$N$88</f>
        <v>0</v>
      </c>
      <c r="N24" s="161"/>
      <c r="O24" s="161"/>
      <c r="P24" s="161"/>
      <c r="R24" s="22"/>
    </row>
    <row r="25" spans="2:18" s="6" customFormat="1" ht="15" customHeight="1">
      <c r="B25" s="21"/>
      <c r="D25" s="20" t="s">
        <v>108</v>
      </c>
      <c r="M25" s="165">
        <f>$N$100</f>
        <v>0</v>
      </c>
      <c r="N25" s="161"/>
      <c r="O25" s="161"/>
      <c r="P25" s="161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91" t="s">
        <v>38</v>
      </c>
      <c r="M27" s="195">
        <f>ROUNDUP($M$24+$M$25,2)</f>
        <v>0</v>
      </c>
      <c r="N27" s="161"/>
      <c r="O27" s="161"/>
      <c r="P27" s="161"/>
      <c r="R27" s="22"/>
    </row>
    <row r="28" spans="2:18" s="6" customFormat="1" ht="7.5" customHeight="1">
      <c r="B28" s="2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R28" s="22"/>
    </row>
    <row r="29" spans="2:18" s="6" customFormat="1" ht="15" customHeight="1">
      <c r="B29" s="21"/>
      <c r="D29" s="26" t="s">
        <v>39</v>
      </c>
      <c r="E29" s="26" t="s">
        <v>40</v>
      </c>
      <c r="F29" s="27">
        <v>0.21</v>
      </c>
      <c r="G29" s="92" t="s">
        <v>41</v>
      </c>
      <c r="H29" s="196">
        <f>ROUNDUP((((SUM($BE$100:$BE$107)+SUM($BE$125:$BE$195))+SUM($BE$197:$BE$201))),2)</f>
        <v>0</v>
      </c>
      <c r="I29" s="161"/>
      <c r="J29" s="161"/>
      <c r="M29" s="196">
        <f>ROUNDUP((((SUM($BE$100:$BE$107)+SUM($BE$125:$BE$195))*$F$29)+SUM($BE$197:$BE$201)*$F$29),1)</f>
        <v>0</v>
      </c>
      <c r="N29" s="161"/>
      <c r="O29" s="161"/>
      <c r="P29" s="161"/>
      <c r="R29" s="22"/>
    </row>
    <row r="30" spans="2:18" s="6" customFormat="1" ht="15" customHeight="1">
      <c r="B30" s="21"/>
      <c r="E30" s="26" t="s">
        <v>42</v>
      </c>
      <c r="F30" s="27">
        <v>0.15</v>
      </c>
      <c r="G30" s="92" t="s">
        <v>41</v>
      </c>
      <c r="H30" s="196">
        <f>ROUNDUP((((SUM($BF$100:$BF$107)+SUM($BF$125:$BF$195))+SUM($BF$197:$BF$201))),2)</f>
        <v>0</v>
      </c>
      <c r="I30" s="161"/>
      <c r="J30" s="161"/>
      <c r="M30" s="196">
        <f>ROUNDUP((((SUM($BF$100:$BF$107)+SUM($BF$125:$BF$195))*$F$30)+SUM($BF$197:$BF$201)*$F$30),1)</f>
        <v>0</v>
      </c>
      <c r="N30" s="161"/>
      <c r="O30" s="161"/>
      <c r="P30" s="161"/>
      <c r="R30" s="22"/>
    </row>
    <row r="31" spans="2:18" s="6" customFormat="1" ht="15" customHeight="1" hidden="1">
      <c r="B31" s="21"/>
      <c r="E31" s="26" t="s">
        <v>43</v>
      </c>
      <c r="F31" s="27">
        <v>0.21</v>
      </c>
      <c r="G31" s="92" t="s">
        <v>41</v>
      </c>
      <c r="H31" s="196">
        <f>ROUNDUP((((SUM($BG$100:$BG$107)+SUM($BG$125:$BG$195))+SUM($BG$197:$BG$201))),2)</f>
        <v>0</v>
      </c>
      <c r="I31" s="161"/>
      <c r="J31" s="161"/>
      <c r="M31" s="196">
        <v>0</v>
      </c>
      <c r="N31" s="161"/>
      <c r="O31" s="161"/>
      <c r="P31" s="161"/>
      <c r="R31" s="22"/>
    </row>
    <row r="32" spans="2:18" s="6" customFormat="1" ht="15" customHeight="1" hidden="1">
      <c r="B32" s="21"/>
      <c r="E32" s="26" t="s">
        <v>44</v>
      </c>
      <c r="F32" s="27">
        <v>0.15</v>
      </c>
      <c r="G32" s="92" t="s">
        <v>41</v>
      </c>
      <c r="H32" s="196">
        <f>ROUNDUP((((SUM($BH$100:$BH$107)+SUM($BH$125:$BH$195))+SUM($BH$197:$BH$201))),2)</f>
        <v>0</v>
      </c>
      <c r="I32" s="161"/>
      <c r="J32" s="161"/>
      <c r="M32" s="196">
        <v>0</v>
      </c>
      <c r="N32" s="161"/>
      <c r="O32" s="161"/>
      <c r="P32" s="161"/>
      <c r="R32" s="22"/>
    </row>
    <row r="33" spans="2:18" s="6" customFormat="1" ht="15" customHeight="1" hidden="1">
      <c r="B33" s="21"/>
      <c r="E33" s="26" t="s">
        <v>45</v>
      </c>
      <c r="F33" s="27">
        <v>0</v>
      </c>
      <c r="G33" s="92" t="s">
        <v>41</v>
      </c>
      <c r="H33" s="196">
        <f>ROUNDUP((((SUM($BI$100:$BI$107)+SUM($BI$125:$BI$195))+SUM($BI$197:$BI$201))),2)</f>
        <v>0</v>
      </c>
      <c r="I33" s="161"/>
      <c r="J33" s="161"/>
      <c r="M33" s="196">
        <v>0</v>
      </c>
      <c r="N33" s="161"/>
      <c r="O33" s="161"/>
      <c r="P33" s="161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30"/>
      <c r="D35" s="31" t="s">
        <v>46</v>
      </c>
      <c r="E35" s="32"/>
      <c r="F35" s="32"/>
      <c r="G35" s="93" t="s">
        <v>47</v>
      </c>
      <c r="H35" s="33" t="s">
        <v>48</v>
      </c>
      <c r="I35" s="32"/>
      <c r="J35" s="32"/>
      <c r="K35" s="32"/>
      <c r="L35" s="172">
        <f>ROUNDUP(SUM($M$27:$M$33),2)</f>
        <v>0</v>
      </c>
      <c r="M35" s="171"/>
      <c r="N35" s="171"/>
      <c r="O35" s="171"/>
      <c r="P35" s="173"/>
      <c r="Q35" s="30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4" t="s">
        <v>49</v>
      </c>
      <c r="E50" s="35"/>
      <c r="F50" s="35"/>
      <c r="G50" s="35"/>
      <c r="H50" s="36"/>
      <c r="J50" s="34" t="s">
        <v>50</v>
      </c>
      <c r="K50" s="35"/>
      <c r="L50" s="35"/>
      <c r="M50" s="35"/>
      <c r="N50" s="35"/>
      <c r="O50" s="35"/>
      <c r="P50" s="36"/>
      <c r="R50" s="22"/>
    </row>
    <row r="51" spans="2:18" s="2" customFormat="1" ht="14.25" customHeight="1">
      <c r="B51" s="10"/>
      <c r="D51" s="37"/>
      <c r="H51" s="38"/>
      <c r="J51" s="37"/>
      <c r="P51" s="38"/>
      <c r="R51" s="11"/>
    </row>
    <row r="52" spans="2:18" s="2" customFormat="1" ht="14.25" customHeight="1">
      <c r="B52" s="10"/>
      <c r="D52" s="37"/>
      <c r="H52" s="38"/>
      <c r="J52" s="37"/>
      <c r="P52" s="38"/>
      <c r="R52" s="11"/>
    </row>
    <row r="53" spans="2:18" s="2" customFormat="1" ht="14.25" customHeight="1">
      <c r="B53" s="10"/>
      <c r="D53" s="37"/>
      <c r="H53" s="38"/>
      <c r="J53" s="37"/>
      <c r="P53" s="38"/>
      <c r="R53" s="11"/>
    </row>
    <row r="54" spans="2:18" s="2" customFormat="1" ht="14.25" customHeight="1">
      <c r="B54" s="10"/>
      <c r="D54" s="37"/>
      <c r="H54" s="38"/>
      <c r="J54" s="37"/>
      <c r="P54" s="38"/>
      <c r="R54" s="11"/>
    </row>
    <row r="55" spans="2:18" s="2" customFormat="1" ht="14.25" customHeight="1">
      <c r="B55" s="10"/>
      <c r="D55" s="37"/>
      <c r="H55" s="38"/>
      <c r="J55" s="37"/>
      <c r="P55" s="38"/>
      <c r="R55" s="11"/>
    </row>
    <row r="56" spans="2:18" s="2" customFormat="1" ht="14.25" customHeight="1">
      <c r="B56" s="10"/>
      <c r="D56" s="37"/>
      <c r="H56" s="38"/>
      <c r="J56" s="37"/>
      <c r="P56" s="38"/>
      <c r="R56" s="11"/>
    </row>
    <row r="57" spans="2:18" s="2" customFormat="1" ht="14.25" customHeight="1">
      <c r="B57" s="10"/>
      <c r="D57" s="37"/>
      <c r="H57" s="38"/>
      <c r="J57" s="37"/>
      <c r="P57" s="38"/>
      <c r="R57" s="11"/>
    </row>
    <row r="58" spans="2:18" s="2" customFormat="1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1"/>
      <c r="D59" s="39" t="s">
        <v>51</v>
      </c>
      <c r="E59" s="40"/>
      <c r="F59" s="40"/>
      <c r="G59" s="41" t="s">
        <v>52</v>
      </c>
      <c r="H59" s="42"/>
      <c r="J59" s="39" t="s">
        <v>51</v>
      </c>
      <c r="K59" s="40"/>
      <c r="L59" s="40"/>
      <c r="M59" s="40"/>
      <c r="N59" s="41" t="s">
        <v>52</v>
      </c>
      <c r="O59" s="40"/>
      <c r="P59" s="42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4" t="s">
        <v>53</v>
      </c>
      <c r="E61" s="35"/>
      <c r="F61" s="35"/>
      <c r="G61" s="35"/>
      <c r="H61" s="36"/>
      <c r="J61" s="34" t="s">
        <v>54</v>
      </c>
      <c r="K61" s="35"/>
      <c r="L61" s="35"/>
      <c r="M61" s="35"/>
      <c r="N61" s="35"/>
      <c r="O61" s="35"/>
      <c r="P61" s="36"/>
      <c r="R61" s="22"/>
    </row>
    <row r="62" spans="2:18" s="2" customFormat="1" ht="14.25" customHeight="1">
      <c r="B62" s="10"/>
      <c r="D62" s="37"/>
      <c r="H62" s="38"/>
      <c r="J62" s="37"/>
      <c r="P62" s="38"/>
      <c r="R62" s="11"/>
    </row>
    <row r="63" spans="2:18" s="2" customFormat="1" ht="14.25" customHeight="1">
      <c r="B63" s="10"/>
      <c r="D63" s="37"/>
      <c r="H63" s="38"/>
      <c r="J63" s="37"/>
      <c r="P63" s="38"/>
      <c r="R63" s="11"/>
    </row>
    <row r="64" spans="2:18" s="2" customFormat="1" ht="14.25" customHeight="1">
      <c r="B64" s="10"/>
      <c r="D64" s="37"/>
      <c r="H64" s="38"/>
      <c r="J64" s="37"/>
      <c r="P64" s="38"/>
      <c r="R64" s="11"/>
    </row>
    <row r="65" spans="2:18" s="2" customFormat="1" ht="14.25" customHeight="1">
      <c r="B65" s="10"/>
      <c r="D65" s="37"/>
      <c r="H65" s="38"/>
      <c r="J65" s="37"/>
      <c r="P65" s="38"/>
      <c r="R65" s="11"/>
    </row>
    <row r="66" spans="2:18" s="2" customFormat="1" ht="14.25" customHeight="1">
      <c r="B66" s="10"/>
      <c r="D66" s="37"/>
      <c r="H66" s="38"/>
      <c r="J66" s="37"/>
      <c r="P66" s="38"/>
      <c r="R66" s="11"/>
    </row>
    <row r="67" spans="2:18" s="2" customFormat="1" ht="14.25" customHeight="1">
      <c r="B67" s="10"/>
      <c r="D67" s="37"/>
      <c r="H67" s="38"/>
      <c r="J67" s="37"/>
      <c r="P67" s="38"/>
      <c r="R67" s="11"/>
    </row>
    <row r="68" spans="2:18" s="2" customFormat="1" ht="14.25" customHeight="1">
      <c r="B68" s="10"/>
      <c r="D68" s="37"/>
      <c r="H68" s="38"/>
      <c r="J68" s="37"/>
      <c r="P68" s="38"/>
      <c r="R68" s="11"/>
    </row>
    <row r="69" spans="2:18" s="2" customFormat="1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1"/>
      <c r="D70" s="39" t="s">
        <v>51</v>
      </c>
      <c r="E70" s="40"/>
      <c r="F70" s="40"/>
      <c r="G70" s="41" t="s">
        <v>52</v>
      </c>
      <c r="H70" s="42"/>
      <c r="J70" s="39" t="s">
        <v>51</v>
      </c>
      <c r="K70" s="40"/>
      <c r="L70" s="40"/>
      <c r="M70" s="40"/>
      <c r="N70" s="41" t="s">
        <v>52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59" t="s">
        <v>121</v>
      </c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22"/>
    </row>
    <row r="77" spans="2:18" s="6" customFormat="1" ht="7.5" customHeight="1">
      <c r="B77" s="21"/>
      <c r="R77" s="22"/>
    </row>
    <row r="78" spans="2:18" s="6" customFormat="1" ht="15" customHeight="1">
      <c r="B78" s="21"/>
      <c r="C78" s="15" t="s">
        <v>14</v>
      </c>
      <c r="F78" s="192" t="str">
        <f>$F$6</f>
        <v>1327 - Stavební úpravy stávajícího objektu - rozdělení sklepních kójí</v>
      </c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R78" s="22"/>
    </row>
    <row r="79" spans="2:18" s="6" customFormat="1" ht="15" customHeight="1">
      <c r="B79" s="21"/>
      <c r="C79" s="14" t="s">
        <v>118</v>
      </c>
      <c r="F79" s="163" t="str">
        <f>$F$7</f>
        <v>1327 b - Sklepní kóje čp. 640</v>
      </c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5" t="s">
        <v>18</v>
      </c>
      <c r="F81" s="16" t="str">
        <f>$F$9</f>
        <v>Kolín II, Benešova čp. 636 - 641</v>
      </c>
      <c r="K81" s="15" t="s">
        <v>20</v>
      </c>
      <c r="M81" s="197" t="str">
        <f>IF($O$9="","",$O$9)</f>
        <v>08.07.2013</v>
      </c>
      <c r="N81" s="161"/>
      <c r="O81" s="161"/>
      <c r="P81" s="161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5" t="s">
        <v>24</v>
      </c>
      <c r="F83" s="16" t="str">
        <f>$E$12</f>
        <v>Město Kolín, Karlovo náměstí 78, 280 02 Kolín 1</v>
      </c>
      <c r="K83" s="15" t="s">
        <v>30</v>
      </c>
      <c r="M83" s="174" t="str">
        <f>$E$18</f>
        <v>Ing. Karel Vrátný, Rubešova 60, 280 02 Kolín</v>
      </c>
      <c r="N83" s="161"/>
      <c r="O83" s="161"/>
      <c r="P83" s="161"/>
      <c r="Q83" s="161"/>
      <c r="R83" s="22"/>
    </row>
    <row r="84" spans="2:18" s="6" customFormat="1" ht="15" customHeight="1">
      <c r="B84" s="21"/>
      <c r="C84" s="15" t="s">
        <v>28</v>
      </c>
      <c r="F84" s="16" t="str">
        <f>IF($E$15="","",$E$15)</f>
        <v>Vyplň údaj</v>
      </c>
      <c r="K84" s="15" t="s">
        <v>33</v>
      </c>
      <c r="M84" s="174" t="str">
        <f>$E$21</f>
        <v>Ing. Karel Vrátný, Rubešova 60, 280 02 Kolín</v>
      </c>
      <c r="N84" s="161"/>
      <c r="O84" s="161"/>
      <c r="P84" s="161"/>
      <c r="Q84" s="161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198" t="s">
        <v>122</v>
      </c>
      <c r="D86" s="190"/>
      <c r="E86" s="190"/>
      <c r="F86" s="190"/>
      <c r="G86" s="190"/>
      <c r="H86" s="30"/>
      <c r="I86" s="30"/>
      <c r="J86" s="30"/>
      <c r="K86" s="30"/>
      <c r="L86" s="30"/>
      <c r="M86" s="30"/>
      <c r="N86" s="198" t="s">
        <v>123</v>
      </c>
      <c r="O86" s="161"/>
      <c r="P86" s="161"/>
      <c r="Q86" s="161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0" t="s">
        <v>124</v>
      </c>
      <c r="N88" s="187">
        <f>ROUNDUP($N$125,2)</f>
        <v>0</v>
      </c>
      <c r="O88" s="161"/>
      <c r="P88" s="161"/>
      <c r="Q88" s="161"/>
      <c r="R88" s="22"/>
      <c r="AU88" s="6" t="s">
        <v>125</v>
      </c>
    </row>
    <row r="89" spans="2:18" s="65" customFormat="1" ht="25.5" customHeight="1">
      <c r="B89" s="94"/>
      <c r="D89" s="95" t="s">
        <v>126</v>
      </c>
      <c r="N89" s="199">
        <f>ROUNDUP($N$126,2)</f>
        <v>0</v>
      </c>
      <c r="O89" s="200"/>
      <c r="P89" s="200"/>
      <c r="Q89" s="200"/>
      <c r="R89" s="96"/>
    </row>
    <row r="90" spans="2:18" s="90" customFormat="1" ht="21" customHeight="1">
      <c r="B90" s="97"/>
      <c r="D90" s="78" t="s">
        <v>127</v>
      </c>
      <c r="N90" s="185">
        <f>ROUNDUP($N$127,2)</f>
        <v>0</v>
      </c>
      <c r="O90" s="200"/>
      <c r="P90" s="200"/>
      <c r="Q90" s="200"/>
      <c r="R90" s="98"/>
    </row>
    <row r="91" spans="2:18" s="90" customFormat="1" ht="21" customHeight="1">
      <c r="B91" s="97"/>
      <c r="D91" s="78" t="s">
        <v>128</v>
      </c>
      <c r="N91" s="185">
        <f>ROUNDUP($N$135,2)</f>
        <v>0</v>
      </c>
      <c r="O91" s="200"/>
      <c r="P91" s="200"/>
      <c r="Q91" s="200"/>
      <c r="R91" s="98"/>
    </row>
    <row r="92" spans="2:18" s="90" customFormat="1" ht="21" customHeight="1">
      <c r="B92" s="97"/>
      <c r="D92" s="78" t="s">
        <v>129</v>
      </c>
      <c r="N92" s="185">
        <f>ROUNDUP($N$144,2)</f>
        <v>0</v>
      </c>
      <c r="O92" s="200"/>
      <c r="P92" s="200"/>
      <c r="Q92" s="200"/>
      <c r="R92" s="98"/>
    </row>
    <row r="93" spans="2:18" s="90" customFormat="1" ht="15.75" customHeight="1">
      <c r="B93" s="97"/>
      <c r="D93" s="78" t="s">
        <v>130</v>
      </c>
      <c r="N93" s="185">
        <f>ROUNDUP($N$154,2)</f>
        <v>0</v>
      </c>
      <c r="O93" s="200"/>
      <c r="P93" s="200"/>
      <c r="Q93" s="200"/>
      <c r="R93" s="98"/>
    </row>
    <row r="94" spans="2:18" s="65" customFormat="1" ht="25.5" customHeight="1">
      <c r="B94" s="94"/>
      <c r="D94" s="95" t="s">
        <v>131</v>
      </c>
      <c r="N94" s="199">
        <f>ROUNDUP($N$161,2)</f>
        <v>0</v>
      </c>
      <c r="O94" s="200"/>
      <c r="P94" s="200"/>
      <c r="Q94" s="200"/>
      <c r="R94" s="96"/>
    </row>
    <row r="95" spans="2:18" s="90" customFormat="1" ht="21" customHeight="1">
      <c r="B95" s="97"/>
      <c r="D95" s="78" t="s">
        <v>134</v>
      </c>
      <c r="N95" s="185">
        <f>ROUNDUP($N$162,2)</f>
        <v>0</v>
      </c>
      <c r="O95" s="200"/>
      <c r="P95" s="200"/>
      <c r="Q95" s="200"/>
      <c r="R95" s="98"/>
    </row>
    <row r="96" spans="2:18" s="90" customFormat="1" ht="21" customHeight="1">
      <c r="B96" s="97"/>
      <c r="D96" s="78" t="s">
        <v>135</v>
      </c>
      <c r="N96" s="185">
        <f>ROUNDUP($N$169,2)</f>
        <v>0</v>
      </c>
      <c r="O96" s="200"/>
      <c r="P96" s="200"/>
      <c r="Q96" s="200"/>
      <c r="R96" s="98"/>
    </row>
    <row r="97" spans="2:18" s="90" customFormat="1" ht="21" customHeight="1">
      <c r="B97" s="97"/>
      <c r="D97" s="78" t="s">
        <v>136</v>
      </c>
      <c r="N97" s="185">
        <f>ROUNDUP($N$179,2)</f>
        <v>0</v>
      </c>
      <c r="O97" s="200"/>
      <c r="P97" s="200"/>
      <c r="Q97" s="200"/>
      <c r="R97" s="98"/>
    </row>
    <row r="98" spans="2:18" s="65" customFormat="1" ht="22.5" customHeight="1">
      <c r="B98" s="94"/>
      <c r="D98" s="95" t="s">
        <v>137</v>
      </c>
      <c r="N98" s="201">
        <f>$N$196</f>
        <v>0</v>
      </c>
      <c r="O98" s="200"/>
      <c r="P98" s="200"/>
      <c r="Q98" s="200"/>
      <c r="R98" s="96"/>
    </row>
    <row r="99" spans="2:18" s="6" customFormat="1" ht="22.5" customHeight="1">
      <c r="B99" s="21"/>
      <c r="R99" s="22"/>
    </row>
    <row r="100" spans="2:21" s="6" customFormat="1" ht="30" customHeight="1">
      <c r="B100" s="21"/>
      <c r="C100" s="60" t="s">
        <v>138</v>
      </c>
      <c r="N100" s="187">
        <f>ROUNDUP($N$101+$N$102+$N$103+$N$104+$N$105+$N$106,2)</f>
        <v>0</v>
      </c>
      <c r="O100" s="161"/>
      <c r="P100" s="161"/>
      <c r="Q100" s="161"/>
      <c r="R100" s="22"/>
      <c r="T100" s="99"/>
      <c r="U100" s="100" t="s">
        <v>39</v>
      </c>
    </row>
    <row r="101" spans="2:62" s="6" customFormat="1" ht="18.75" customHeight="1">
      <c r="B101" s="21"/>
      <c r="D101" s="186" t="s">
        <v>139</v>
      </c>
      <c r="E101" s="161"/>
      <c r="F101" s="161"/>
      <c r="G101" s="161"/>
      <c r="H101" s="161"/>
      <c r="N101" s="184">
        <f>ROUNDUP($N$88*$T$101,2)</f>
        <v>0</v>
      </c>
      <c r="O101" s="161"/>
      <c r="P101" s="161"/>
      <c r="Q101" s="161"/>
      <c r="R101" s="22"/>
      <c r="T101" s="101"/>
      <c r="U101" s="102" t="s">
        <v>42</v>
      </c>
      <c r="AY101" s="6" t="s">
        <v>140</v>
      </c>
      <c r="BE101" s="82">
        <f>IF($U$101="základní",$N$101,0)</f>
        <v>0</v>
      </c>
      <c r="BF101" s="82">
        <f>IF($U$101="snížená",$N$101,0)</f>
        <v>0</v>
      </c>
      <c r="BG101" s="82">
        <f>IF($U$101="zákl. přenesená",$N$101,0)</f>
        <v>0</v>
      </c>
      <c r="BH101" s="82">
        <f>IF($U$101="sníž. přenesená",$N$101,0)</f>
        <v>0</v>
      </c>
      <c r="BI101" s="82">
        <f>IF($U$101="nulová",$N$101,0)</f>
        <v>0</v>
      </c>
      <c r="BJ101" s="6" t="s">
        <v>141</v>
      </c>
    </row>
    <row r="102" spans="2:62" s="6" customFormat="1" ht="18.75" customHeight="1">
      <c r="B102" s="21"/>
      <c r="D102" s="186" t="s">
        <v>142</v>
      </c>
      <c r="E102" s="161"/>
      <c r="F102" s="161"/>
      <c r="G102" s="161"/>
      <c r="H102" s="161"/>
      <c r="N102" s="184">
        <f>ROUNDUP($N$88*$T$102,2)</f>
        <v>0</v>
      </c>
      <c r="O102" s="161"/>
      <c r="P102" s="161"/>
      <c r="Q102" s="161"/>
      <c r="R102" s="22"/>
      <c r="T102" s="101"/>
      <c r="U102" s="102" t="s">
        <v>42</v>
      </c>
      <c r="AY102" s="6" t="s">
        <v>140</v>
      </c>
      <c r="BE102" s="82">
        <f>IF($U$102="základní",$N$102,0)</f>
        <v>0</v>
      </c>
      <c r="BF102" s="82">
        <f>IF($U$102="snížená",$N$102,0)</f>
        <v>0</v>
      </c>
      <c r="BG102" s="82">
        <f>IF($U$102="zákl. přenesená",$N$102,0)</f>
        <v>0</v>
      </c>
      <c r="BH102" s="82">
        <f>IF($U$102="sníž. přenesená",$N$102,0)</f>
        <v>0</v>
      </c>
      <c r="BI102" s="82">
        <f>IF($U$102="nulová",$N$102,0)</f>
        <v>0</v>
      </c>
      <c r="BJ102" s="6" t="s">
        <v>141</v>
      </c>
    </row>
    <row r="103" spans="2:62" s="6" customFormat="1" ht="18.75" customHeight="1">
      <c r="B103" s="21"/>
      <c r="D103" s="186" t="s">
        <v>143</v>
      </c>
      <c r="E103" s="161"/>
      <c r="F103" s="161"/>
      <c r="G103" s="161"/>
      <c r="H103" s="161"/>
      <c r="N103" s="184">
        <f>ROUNDUP($N$88*$T$103,2)</f>
        <v>0</v>
      </c>
      <c r="O103" s="161"/>
      <c r="P103" s="161"/>
      <c r="Q103" s="161"/>
      <c r="R103" s="22"/>
      <c r="T103" s="101"/>
      <c r="U103" s="102" t="s">
        <v>42</v>
      </c>
      <c r="AY103" s="6" t="s">
        <v>140</v>
      </c>
      <c r="BE103" s="82">
        <f>IF($U$103="základní",$N$103,0)</f>
        <v>0</v>
      </c>
      <c r="BF103" s="82">
        <f>IF($U$103="snížená",$N$103,0)</f>
        <v>0</v>
      </c>
      <c r="BG103" s="82">
        <f>IF($U$103="zákl. přenesená",$N$103,0)</f>
        <v>0</v>
      </c>
      <c r="BH103" s="82">
        <f>IF($U$103="sníž. přenesená",$N$103,0)</f>
        <v>0</v>
      </c>
      <c r="BI103" s="82">
        <f>IF($U$103="nulová",$N$103,0)</f>
        <v>0</v>
      </c>
      <c r="BJ103" s="6" t="s">
        <v>141</v>
      </c>
    </row>
    <row r="104" spans="2:62" s="6" customFormat="1" ht="18.75" customHeight="1">
      <c r="B104" s="21"/>
      <c r="D104" s="186" t="s">
        <v>144</v>
      </c>
      <c r="E104" s="161"/>
      <c r="F104" s="161"/>
      <c r="G104" s="161"/>
      <c r="H104" s="161"/>
      <c r="N104" s="184">
        <f>ROUNDUP($N$88*$T$104,2)</f>
        <v>0</v>
      </c>
      <c r="O104" s="161"/>
      <c r="P104" s="161"/>
      <c r="Q104" s="161"/>
      <c r="R104" s="22"/>
      <c r="T104" s="101"/>
      <c r="U104" s="102" t="s">
        <v>42</v>
      </c>
      <c r="AY104" s="6" t="s">
        <v>140</v>
      </c>
      <c r="BE104" s="82">
        <f>IF($U$104="základní",$N$104,0)</f>
        <v>0</v>
      </c>
      <c r="BF104" s="82">
        <f>IF($U$104="snížená",$N$104,0)</f>
        <v>0</v>
      </c>
      <c r="BG104" s="82">
        <f>IF($U$104="zákl. přenesená",$N$104,0)</f>
        <v>0</v>
      </c>
      <c r="BH104" s="82">
        <f>IF($U$104="sníž. přenesená",$N$104,0)</f>
        <v>0</v>
      </c>
      <c r="BI104" s="82">
        <f>IF($U$104="nulová",$N$104,0)</f>
        <v>0</v>
      </c>
      <c r="BJ104" s="6" t="s">
        <v>141</v>
      </c>
    </row>
    <row r="105" spans="2:62" s="6" customFormat="1" ht="18.75" customHeight="1">
      <c r="B105" s="21"/>
      <c r="D105" s="186" t="s">
        <v>145</v>
      </c>
      <c r="E105" s="161"/>
      <c r="F105" s="161"/>
      <c r="G105" s="161"/>
      <c r="H105" s="161"/>
      <c r="N105" s="184">
        <f>ROUNDUP($N$88*$T$105,2)</f>
        <v>0</v>
      </c>
      <c r="O105" s="161"/>
      <c r="P105" s="161"/>
      <c r="Q105" s="161"/>
      <c r="R105" s="22"/>
      <c r="T105" s="101"/>
      <c r="U105" s="102" t="s">
        <v>42</v>
      </c>
      <c r="AY105" s="6" t="s">
        <v>140</v>
      </c>
      <c r="BE105" s="82">
        <f>IF($U$105="základní",$N$105,0)</f>
        <v>0</v>
      </c>
      <c r="BF105" s="82">
        <f>IF($U$105="snížená",$N$105,0)</f>
        <v>0</v>
      </c>
      <c r="BG105" s="82">
        <f>IF($U$105="zákl. přenesená",$N$105,0)</f>
        <v>0</v>
      </c>
      <c r="BH105" s="82">
        <f>IF($U$105="sníž. přenesená",$N$105,0)</f>
        <v>0</v>
      </c>
      <c r="BI105" s="82">
        <f>IF($U$105="nulová",$N$105,0)</f>
        <v>0</v>
      </c>
      <c r="BJ105" s="6" t="s">
        <v>141</v>
      </c>
    </row>
    <row r="106" spans="2:62" s="6" customFormat="1" ht="18.75" customHeight="1">
      <c r="B106" s="21"/>
      <c r="D106" s="78" t="s">
        <v>146</v>
      </c>
      <c r="N106" s="184">
        <f>ROUNDUP($N$88*$T$106,2)</f>
        <v>0</v>
      </c>
      <c r="O106" s="161"/>
      <c r="P106" s="161"/>
      <c r="Q106" s="161"/>
      <c r="R106" s="22"/>
      <c r="T106" s="103"/>
      <c r="U106" s="104" t="s">
        <v>42</v>
      </c>
      <c r="AY106" s="6" t="s">
        <v>147</v>
      </c>
      <c r="BE106" s="82">
        <f>IF($U$106="základní",$N$106,0)</f>
        <v>0</v>
      </c>
      <c r="BF106" s="82">
        <f>IF($U$106="snížená",$N$106,0)</f>
        <v>0</v>
      </c>
      <c r="BG106" s="82">
        <f>IF($U$106="zákl. přenesená",$N$106,0)</f>
        <v>0</v>
      </c>
      <c r="BH106" s="82">
        <f>IF($U$106="sníž. přenesená",$N$106,0)</f>
        <v>0</v>
      </c>
      <c r="BI106" s="82">
        <f>IF($U$106="nulová",$N$106,0)</f>
        <v>0</v>
      </c>
      <c r="BJ106" s="6" t="s">
        <v>141</v>
      </c>
    </row>
    <row r="107" spans="2:18" s="6" customFormat="1" ht="14.25" customHeight="1">
      <c r="B107" s="21"/>
      <c r="R107" s="22"/>
    </row>
    <row r="108" spans="2:18" s="6" customFormat="1" ht="30" customHeight="1">
      <c r="B108" s="21"/>
      <c r="C108" s="89" t="s">
        <v>115</v>
      </c>
      <c r="D108" s="30"/>
      <c r="E108" s="30"/>
      <c r="F108" s="30"/>
      <c r="G108" s="30"/>
      <c r="H108" s="30"/>
      <c r="I108" s="30"/>
      <c r="J108" s="30"/>
      <c r="K108" s="30"/>
      <c r="L108" s="189">
        <f>ROUNDUP(SUM($N$88+$N$100),2)</f>
        <v>0</v>
      </c>
      <c r="M108" s="190"/>
      <c r="N108" s="190"/>
      <c r="O108" s="190"/>
      <c r="P108" s="190"/>
      <c r="Q108" s="190"/>
      <c r="R108" s="22"/>
    </row>
    <row r="109" spans="2:18" s="6" customFormat="1" ht="7.5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5"/>
    </row>
    <row r="113" spans="2:18" s="6" customFormat="1" ht="7.5" customHeight="1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8"/>
    </row>
    <row r="114" spans="2:18" s="6" customFormat="1" ht="37.5" customHeight="1">
      <c r="B114" s="21"/>
      <c r="C114" s="159" t="s">
        <v>148</v>
      </c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22"/>
    </row>
    <row r="115" spans="2:18" s="6" customFormat="1" ht="7.5" customHeight="1">
      <c r="B115" s="21"/>
      <c r="R115" s="22"/>
    </row>
    <row r="116" spans="2:18" s="6" customFormat="1" ht="15" customHeight="1">
      <c r="B116" s="21"/>
      <c r="C116" s="15" t="s">
        <v>14</v>
      </c>
      <c r="F116" s="192" t="str">
        <f>$F$6</f>
        <v>1327 - Stavební úpravy stávajícího objektu - rozdělení sklepních kójí</v>
      </c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R116" s="22"/>
    </row>
    <row r="117" spans="2:18" s="6" customFormat="1" ht="15" customHeight="1">
      <c r="B117" s="21"/>
      <c r="C117" s="14" t="s">
        <v>118</v>
      </c>
      <c r="F117" s="163" t="str">
        <f>$F$7</f>
        <v>1327 b - Sklepní kóje čp. 640</v>
      </c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R117" s="22"/>
    </row>
    <row r="118" spans="2:18" s="6" customFormat="1" ht="7.5" customHeight="1">
      <c r="B118" s="21"/>
      <c r="R118" s="22"/>
    </row>
    <row r="119" spans="2:18" s="6" customFormat="1" ht="18.75" customHeight="1">
      <c r="B119" s="21"/>
      <c r="C119" s="15" t="s">
        <v>18</v>
      </c>
      <c r="F119" s="16" t="str">
        <f>$F$9</f>
        <v>Kolín II, Benešova čp. 636 - 641</v>
      </c>
      <c r="K119" s="15" t="s">
        <v>20</v>
      </c>
      <c r="M119" s="197" t="str">
        <f>IF($O$9="","",$O$9)</f>
        <v>08.07.2013</v>
      </c>
      <c r="N119" s="161"/>
      <c r="O119" s="161"/>
      <c r="P119" s="161"/>
      <c r="R119" s="22"/>
    </row>
    <row r="120" spans="2:18" s="6" customFormat="1" ht="7.5" customHeight="1">
      <c r="B120" s="21"/>
      <c r="R120" s="22"/>
    </row>
    <row r="121" spans="2:18" s="6" customFormat="1" ht="15.75" customHeight="1">
      <c r="B121" s="21"/>
      <c r="C121" s="15" t="s">
        <v>24</v>
      </c>
      <c r="F121" s="16" t="str">
        <f>$E$12</f>
        <v>Město Kolín, Karlovo náměstí 78, 280 02 Kolín 1</v>
      </c>
      <c r="K121" s="15" t="s">
        <v>30</v>
      </c>
      <c r="M121" s="174" t="str">
        <f>$E$18</f>
        <v>Ing. Karel Vrátný, Rubešova 60, 280 02 Kolín</v>
      </c>
      <c r="N121" s="161"/>
      <c r="O121" s="161"/>
      <c r="P121" s="161"/>
      <c r="Q121" s="161"/>
      <c r="R121" s="22"/>
    </row>
    <row r="122" spans="2:18" s="6" customFormat="1" ht="15" customHeight="1">
      <c r="B122" s="21"/>
      <c r="C122" s="15" t="s">
        <v>28</v>
      </c>
      <c r="F122" s="16" t="str">
        <f>IF($E$15="","",$E$15)</f>
        <v>Vyplň údaj</v>
      </c>
      <c r="K122" s="15" t="s">
        <v>33</v>
      </c>
      <c r="M122" s="174" t="str">
        <f>$E$21</f>
        <v>Ing. Karel Vrátný, Rubešova 60, 280 02 Kolín</v>
      </c>
      <c r="N122" s="161"/>
      <c r="O122" s="161"/>
      <c r="P122" s="161"/>
      <c r="Q122" s="161"/>
      <c r="R122" s="22"/>
    </row>
    <row r="123" spans="2:18" s="6" customFormat="1" ht="11.25" customHeight="1">
      <c r="B123" s="21"/>
      <c r="R123" s="22"/>
    </row>
    <row r="124" spans="2:27" s="105" customFormat="1" ht="30" customHeight="1">
      <c r="B124" s="106"/>
      <c r="C124" s="107" t="s">
        <v>149</v>
      </c>
      <c r="D124" s="108" t="s">
        <v>150</v>
      </c>
      <c r="E124" s="108" t="s">
        <v>57</v>
      </c>
      <c r="F124" s="202" t="s">
        <v>151</v>
      </c>
      <c r="G124" s="203"/>
      <c r="H124" s="203"/>
      <c r="I124" s="203"/>
      <c r="J124" s="108" t="s">
        <v>152</v>
      </c>
      <c r="K124" s="108" t="s">
        <v>153</v>
      </c>
      <c r="L124" s="202" t="s">
        <v>154</v>
      </c>
      <c r="M124" s="203"/>
      <c r="N124" s="202" t="s">
        <v>155</v>
      </c>
      <c r="O124" s="203"/>
      <c r="P124" s="203"/>
      <c r="Q124" s="204"/>
      <c r="R124" s="109"/>
      <c r="T124" s="55" t="s">
        <v>156</v>
      </c>
      <c r="U124" s="56" t="s">
        <v>39</v>
      </c>
      <c r="V124" s="56" t="s">
        <v>157</v>
      </c>
      <c r="W124" s="56" t="s">
        <v>158</v>
      </c>
      <c r="X124" s="56" t="s">
        <v>159</v>
      </c>
      <c r="Y124" s="56" t="s">
        <v>160</v>
      </c>
      <c r="Z124" s="56" t="s">
        <v>161</v>
      </c>
      <c r="AA124" s="57" t="s">
        <v>162</v>
      </c>
    </row>
    <row r="125" spans="2:63" s="6" customFormat="1" ht="30" customHeight="1">
      <c r="B125" s="21"/>
      <c r="C125" s="60" t="s">
        <v>120</v>
      </c>
      <c r="N125" s="221">
        <f>$BK$125</f>
        <v>0</v>
      </c>
      <c r="O125" s="161"/>
      <c r="P125" s="161"/>
      <c r="Q125" s="161"/>
      <c r="R125" s="22"/>
      <c r="T125" s="59"/>
      <c r="U125" s="35"/>
      <c r="V125" s="35"/>
      <c r="W125" s="110">
        <f>$W$126+$W$161+$W$196</f>
        <v>326.96778200000006</v>
      </c>
      <c r="X125" s="35"/>
      <c r="Y125" s="110">
        <f>$Y$126+$Y$161+$Y$196</f>
        <v>6.288490019999999</v>
      </c>
      <c r="Z125" s="35"/>
      <c r="AA125" s="111">
        <f>$AA$126+$AA$161+$AA$196</f>
        <v>0.5952664</v>
      </c>
      <c r="AT125" s="6" t="s">
        <v>74</v>
      </c>
      <c r="AU125" s="6" t="s">
        <v>125</v>
      </c>
      <c r="BK125" s="112">
        <f>$BK$126+$BK$161+$BK$196</f>
        <v>0</v>
      </c>
    </row>
    <row r="126" spans="2:63" s="113" customFormat="1" ht="37.5" customHeight="1">
      <c r="B126" s="114"/>
      <c r="D126" s="115" t="s">
        <v>126</v>
      </c>
      <c r="N126" s="201">
        <f>$BK$126</f>
        <v>0</v>
      </c>
      <c r="O126" s="222"/>
      <c r="P126" s="222"/>
      <c r="Q126" s="222"/>
      <c r="R126" s="117"/>
      <c r="T126" s="118"/>
      <c r="W126" s="119">
        <f>$W$127+$W$135+$W$144</f>
        <v>139.227766</v>
      </c>
      <c r="Y126" s="119">
        <f>$Y$127+$Y$135+$Y$144</f>
        <v>5.73779566</v>
      </c>
      <c r="AA126" s="120">
        <f>$AA$127+$AA$135+$AA$144</f>
        <v>0.209608</v>
      </c>
      <c r="AR126" s="116" t="s">
        <v>17</v>
      </c>
      <c r="AT126" s="116" t="s">
        <v>74</v>
      </c>
      <c r="AU126" s="116" t="s">
        <v>75</v>
      </c>
      <c r="AY126" s="116" t="s">
        <v>163</v>
      </c>
      <c r="BK126" s="121">
        <f>$BK$127+$BK$135+$BK$144</f>
        <v>0</v>
      </c>
    </row>
    <row r="127" spans="2:63" s="113" customFormat="1" ht="21" customHeight="1">
      <c r="B127" s="114"/>
      <c r="D127" s="122" t="s">
        <v>127</v>
      </c>
      <c r="N127" s="223">
        <f>$BK$127</f>
        <v>0</v>
      </c>
      <c r="O127" s="222"/>
      <c r="P127" s="222"/>
      <c r="Q127" s="222"/>
      <c r="R127" s="117"/>
      <c r="T127" s="118"/>
      <c r="W127" s="119">
        <f>SUM($W$128:$W$134)</f>
        <v>38.115917</v>
      </c>
      <c r="Y127" s="119">
        <f>SUM($Y$128:$Y$134)</f>
        <v>5.169748719999999</v>
      </c>
      <c r="AA127" s="120">
        <f>SUM($AA$128:$AA$134)</f>
        <v>0</v>
      </c>
      <c r="AR127" s="116" t="s">
        <v>17</v>
      </c>
      <c r="AT127" s="116" t="s">
        <v>74</v>
      </c>
      <c r="AU127" s="116" t="s">
        <v>17</v>
      </c>
      <c r="AY127" s="116" t="s">
        <v>163</v>
      </c>
      <c r="BK127" s="121">
        <f>SUM($BK$128:$BK$134)</f>
        <v>0</v>
      </c>
    </row>
    <row r="128" spans="2:64" s="6" customFormat="1" ht="39" customHeight="1">
      <c r="B128" s="21"/>
      <c r="C128" s="123" t="s">
        <v>17</v>
      </c>
      <c r="D128" s="123" t="s">
        <v>164</v>
      </c>
      <c r="E128" s="124" t="s">
        <v>165</v>
      </c>
      <c r="F128" s="205" t="s">
        <v>166</v>
      </c>
      <c r="G128" s="206"/>
      <c r="H128" s="206"/>
      <c r="I128" s="206"/>
      <c r="J128" s="125" t="s">
        <v>167</v>
      </c>
      <c r="K128" s="126">
        <v>7</v>
      </c>
      <c r="L128" s="207">
        <v>0</v>
      </c>
      <c r="M128" s="206"/>
      <c r="N128" s="208">
        <f>ROUND($L$128*$K$128,2)</f>
        <v>0</v>
      </c>
      <c r="O128" s="206"/>
      <c r="P128" s="206"/>
      <c r="Q128" s="206"/>
      <c r="R128" s="22"/>
      <c r="T128" s="127"/>
      <c r="U128" s="28" t="s">
        <v>42</v>
      </c>
      <c r="V128" s="128">
        <v>0.196</v>
      </c>
      <c r="W128" s="128">
        <f>$V$128*$K$128</f>
        <v>1.372</v>
      </c>
      <c r="X128" s="128">
        <v>0.02684</v>
      </c>
      <c r="Y128" s="128">
        <f>$X$128*$K$128</f>
        <v>0.18788</v>
      </c>
      <c r="Z128" s="128">
        <v>0</v>
      </c>
      <c r="AA128" s="129">
        <f>$Z$128*$K$128</f>
        <v>0</v>
      </c>
      <c r="AR128" s="6" t="s">
        <v>168</v>
      </c>
      <c r="AT128" s="6" t="s">
        <v>164</v>
      </c>
      <c r="AU128" s="6" t="s">
        <v>141</v>
      </c>
      <c r="AY128" s="6" t="s">
        <v>163</v>
      </c>
      <c r="BE128" s="82">
        <f>IF($U$128="základní",$N$128,0)</f>
        <v>0</v>
      </c>
      <c r="BF128" s="82">
        <f>IF($U$128="snížená",$N$128,0)</f>
        <v>0</v>
      </c>
      <c r="BG128" s="82">
        <f>IF($U$128="zákl. přenesená",$N$128,0)</f>
        <v>0</v>
      </c>
      <c r="BH128" s="82">
        <f>IF($U$128="sníž. přenesená",$N$128,0)</f>
        <v>0</v>
      </c>
      <c r="BI128" s="82">
        <f>IF($U$128="nulová",$N$128,0)</f>
        <v>0</v>
      </c>
      <c r="BJ128" s="6" t="s">
        <v>141</v>
      </c>
      <c r="BK128" s="82">
        <f>ROUND($L$128*$K$128,2)</f>
        <v>0</v>
      </c>
      <c r="BL128" s="6" t="s">
        <v>168</v>
      </c>
    </row>
    <row r="129" spans="2:64" s="6" customFormat="1" ht="27" customHeight="1">
      <c r="B129" s="21"/>
      <c r="C129" s="123" t="s">
        <v>141</v>
      </c>
      <c r="D129" s="123" t="s">
        <v>164</v>
      </c>
      <c r="E129" s="124" t="s">
        <v>316</v>
      </c>
      <c r="F129" s="205" t="s">
        <v>317</v>
      </c>
      <c r="G129" s="206"/>
      <c r="H129" s="206"/>
      <c r="I129" s="206"/>
      <c r="J129" s="125" t="s">
        <v>171</v>
      </c>
      <c r="K129" s="126">
        <v>2.758</v>
      </c>
      <c r="L129" s="207">
        <v>0</v>
      </c>
      <c r="M129" s="206"/>
      <c r="N129" s="208">
        <f>ROUND($L$129*$K$129,2)</f>
        <v>0</v>
      </c>
      <c r="O129" s="206"/>
      <c r="P129" s="206"/>
      <c r="Q129" s="206"/>
      <c r="R129" s="22"/>
      <c r="T129" s="127"/>
      <c r="U129" s="28" t="s">
        <v>42</v>
      </c>
      <c r="V129" s="128">
        <v>0.799</v>
      </c>
      <c r="W129" s="128">
        <f>$V$129*$K$129</f>
        <v>2.2036420000000003</v>
      </c>
      <c r="X129" s="128">
        <v>0.25365</v>
      </c>
      <c r="Y129" s="128">
        <f>$X$129*$K$129</f>
        <v>0.6995667</v>
      </c>
      <c r="Z129" s="128">
        <v>0</v>
      </c>
      <c r="AA129" s="129">
        <f>$Z$129*$K$129</f>
        <v>0</v>
      </c>
      <c r="AR129" s="6" t="s">
        <v>168</v>
      </c>
      <c r="AT129" s="6" t="s">
        <v>164</v>
      </c>
      <c r="AU129" s="6" t="s">
        <v>141</v>
      </c>
      <c r="AY129" s="6" t="s">
        <v>163</v>
      </c>
      <c r="BE129" s="82">
        <f>IF($U$129="základní",$N$129,0)</f>
        <v>0</v>
      </c>
      <c r="BF129" s="82">
        <f>IF($U$129="snížená",$N$129,0)</f>
        <v>0</v>
      </c>
      <c r="BG129" s="82">
        <f>IF($U$129="zákl. přenesená",$N$129,0)</f>
        <v>0</v>
      </c>
      <c r="BH129" s="82">
        <f>IF($U$129="sníž. přenesená",$N$129,0)</f>
        <v>0</v>
      </c>
      <c r="BI129" s="82">
        <f>IF($U$129="nulová",$N$129,0)</f>
        <v>0</v>
      </c>
      <c r="BJ129" s="6" t="s">
        <v>141</v>
      </c>
      <c r="BK129" s="82">
        <f>ROUND($L$129*$K$129,2)</f>
        <v>0</v>
      </c>
      <c r="BL129" s="6" t="s">
        <v>168</v>
      </c>
    </row>
    <row r="130" spans="2:51" s="6" customFormat="1" ht="15.75" customHeight="1">
      <c r="B130" s="130"/>
      <c r="E130" s="131"/>
      <c r="F130" s="209" t="s">
        <v>318</v>
      </c>
      <c r="G130" s="210"/>
      <c r="H130" s="210"/>
      <c r="I130" s="210"/>
      <c r="K130" s="132">
        <v>2.758</v>
      </c>
      <c r="R130" s="133"/>
      <c r="T130" s="134"/>
      <c r="AA130" s="135"/>
      <c r="AT130" s="131" t="s">
        <v>173</v>
      </c>
      <c r="AU130" s="131" t="s">
        <v>141</v>
      </c>
      <c r="AV130" s="131" t="s">
        <v>141</v>
      </c>
      <c r="AW130" s="131" t="s">
        <v>125</v>
      </c>
      <c r="AX130" s="131" t="s">
        <v>17</v>
      </c>
      <c r="AY130" s="131" t="s">
        <v>163</v>
      </c>
    </row>
    <row r="131" spans="2:64" s="6" customFormat="1" ht="39" customHeight="1">
      <c r="B131" s="21"/>
      <c r="C131" s="123" t="s">
        <v>174</v>
      </c>
      <c r="D131" s="123" t="s">
        <v>164</v>
      </c>
      <c r="E131" s="124" t="s">
        <v>169</v>
      </c>
      <c r="F131" s="205" t="s">
        <v>170</v>
      </c>
      <c r="G131" s="206"/>
      <c r="H131" s="206"/>
      <c r="I131" s="206"/>
      <c r="J131" s="125" t="s">
        <v>171</v>
      </c>
      <c r="K131" s="126">
        <v>61.311</v>
      </c>
      <c r="L131" s="207">
        <v>0</v>
      </c>
      <c r="M131" s="206"/>
      <c r="N131" s="208">
        <f>ROUND($L$131*$K$131,2)</f>
        <v>0</v>
      </c>
      <c r="O131" s="206"/>
      <c r="P131" s="206"/>
      <c r="Q131" s="206"/>
      <c r="R131" s="22"/>
      <c r="T131" s="127"/>
      <c r="U131" s="28" t="s">
        <v>42</v>
      </c>
      <c r="V131" s="128">
        <v>0.525</v>
      </c>
      <c r="W131" s="128">
        <f>$V$131*$K$131</f>
        <v>32.188275000000004</v>
      </c>
      <c r="X131" s="128">
        <v>0.06982</v>
      </c>
      <c r="Y131" s="128">
        <f>$X$131*$K$131</f>
        <v>4.28073402</v>
      </c>
      <c r="Z131" s="128">
        <v>0</v>
      </c>
      <c r="AA131" s="129">
        <f>$Z$131*$K$131</f>
        <v>0</v>
      </c>
      <c r="AR131" s="6" t="s">
        <v>168</v>
      </c>
      <c r="AT131" s="6" t="s">
        <v>164</v>
      </c>
      <c r="AU131" s="6" t="s">
        <v>141</v>
      </c>
      <c r="AY131" s="6" t="s">
        <v>163</v>
      </c>
      <c r="BE131" s="82">
        <f>IF($U$131="základní",$N$131,0)</f>
        <v>0</v>
      </c>
      <c r="BF131" s="82">
        <f>IF($U$131="snížená",$N$131,0)</f>
        <v>0</v>
      </c>
      <c r="BG131" s="82">
        <f>IF($U$131="zákl. přenesená",$N$131,0)</f>
        <v>0</v>
      </c>
      <c r="BH131" s="82">
        <f>IF($U$131="sníž. přenesená",$N$131,0)</f>
        <v>0</v>
      </c>
      <c r="BI131" s="82">
        <f>IF($U$131="nulová",$N$131,0)</f>
        <v>0</v>
      </c>
      <c r="BJ131" s="6" t="s">
        <v>141</v>
      </c>
      <c r="BK131" s="82">
        <f>ROUND($L$131*$K$131,2)</f>
        <v>0</v>
      </c>
      <c r="BL131" s="6" t="s">
        <v>168</v>
      </c>
    </row>
    <row r="132" spans="2:51" s="6" customFormat="1" ht="27" customHeight="1">
      <c r="B132" s="130"/>
      <c r="E132" s="131"/>
      <c r="F132" s="209" t="s">
        <v>319</v>
      </c>
      <c r="G132" s="210"/>
      <c r="H132" s="210"/>
      <c r="I132" s="210"/>
      <c r="K132" s="132">
        <v>61.311</v>
      </c>
      <c r="R132" s="133"/>
      <c r="T132" s="134"/>
      <c r="AA132" s="135"/>
      <c r="AT132" s="131" t="s">
        <v>173</v>
      </c>
      <c r="AU132" s="131" t="s">
        <v>141</v>
      </c>
      <c r="AV132" s="131" t="s">
        <v>141</v>
      </c>
      <c r="AW132" s="131" t="s">
        <v>125</v>
      </c>
      <c r="AX132" s="131" t="s">
        <v>17</v>
      </c>
      <c r="AY132" s="131" t="s">
        <v>163</v>
      </c>
    </row>
    <row r="133" spans="2:64" s="6" customFormat="1" ht="27" customHeight="1">
      <c r="B133" s="21"/>
      <c r="C133" s="123" t="s">
        <v>168</v>
      </c>
      <c r="D133" s="123" t="s">
        <v>164</v>
      </c>
      <c r="E133" s="124" t="s">
        <v>175</v>
      </c>
      <c r="F133" s="205" t="s">
        <v>176</v>
      </c>
      <c r="G133" s="206"/>
      <c r="H133" s="206"/>
      <c r="I133" s="206"/>
      <c r="J133" s="125" t="s">
        <v>177</v>
      </c>
      <c r="K133" s="126">
        <v>19.6</v>
      </c>
      <c r="L133" s="207">
        <v>0</v>
      </c>
      <c r="M133" s="206"/>
      <c r="N133" s="208">
        <f>ROUND($L$133*$K$133,2)</f>
        <v>0</v>
      </c>
      <c r="O133" s="206"/>
      <c r="P133" s="206"/>
      <c r="Q133" s="206"/>
      <c r="R133" s="22"/>
      <c r="T133" s="127"/>
      <c r="U133" s="28" t="s">
        <v>42</v>
      </c>
      <c r="V133" s="128">
        <v>0.12</v>
      </c>
      <c r="W133" s="128">
        <f>$V$133*$K$133</f>
        <v>2.352</v>
      </c>
      <c r="X133" s="128">
        <v>8E-05</v>
      </c>
      <c r="Y133" s="128">
        <f>$X$133*$K$133</f>
        <v>0.0015680000000000002</v>
      </c>
      <c r="Z133" s="128">
        <v>0</v>
      </c>
      <c r="AA133" s="129">
        <f>$Z$133*$K$133</f>
        <v>0</v>
      </c>
      <c r="AR133" s="6" t="s">
        <v>168</v>
      </c>
      <c r="AT133" s="6" t="s">
        <v>164</v>
      </c>
      <c r="AU133" s="6" t="s">
        <v>141</v>
      </c>
      <c r="AY133" s="6" t="s">
        <v>163</v>
      </c>
      <c r="BE133" s="82">
        <f>IF($U$133="základní",$N$133,0)</f>
        <v>0</v>
      </c>
      <c r="BF133" s="82">
        <f>IF($U$133="snížená",$N$133,0)</f>
        <v>0</v>
      </c>
      <c r="BG133" s="82">
        <f>IF($U$133="zákl. přenesená",$N$133,0)</f>
        <v>0</v>
      </c>
      <c r="BH133" s="82">
        <f>IF($U$133="sníž. přenesená",$N$133,0)</f>
        <v>0</v>
      </c>
      <c r="BI133" s="82">
        <f>IF($U$133="nulová",$N$133,0)</f>
        <v>0</v>
      </c>
      <c r="BJ133" s="6" t="s">
        <v>141</v>
      </c>
      <c r="BK133" s="82">
        <f>ROUND($L$133*$K$133,2)</f>
        <v>0</v>
      </c>
      <c r="BL133" s="6" t="s">
        <v>168</v>
      </c>
    </row>
    <row r="134" spans="2:51" s="6" customFormat="1" ht="15.75" customHeight="1">
      <c r="B134" s="130"/>
      <c r="E134" s="131"/>
      <c r="F134" s="209" t="s">
        <v>320</v>
      </c>
      <c r="G134" s="210"/>
      <c r="H134" s="210"/>
      <c r="I134" s="210"/>
      <c r="K134" s="132">
        <v>19.6</v>
      </c>
      <c r="R134" s="133"/>
      <c r="T134" s="134"/>
      <c r="AA134" s="135"/>
      <c r="AT134" s="131" t="s">
        <v>173</v>
      </c>
      <c r="AU134" s="131" t="s">
        <v>141</v>
      </c>
      <c r="AV134" s="131" t="s">
        <v>141</v>
      </c>
      <c r="AW134" s="131" t="s">
        <v>125</v>
      </c>
      <c r="AX134" s="131" t="s">
        <v>17</v>
      </c>
      <c r="AY134" s="131" t="s">
        <v>163</v>
      </c>
    </row>
    <row r="135" spans="2:63" s="113" customFormat="1" ht="30.75" customHeight="1">
      <c r="B135" s="114"/>
      <c r="D135" s="122" t="s">
        <v>128</v>
      </c>
      <c r="N135" s="223">
        <f>$BK$135</f>
        <v>0</v>
      </c>
      <c r="O135" s="222"/>
      <c r="P135" s="222"/>
      <c r="Q135" s="222"/>
      <c r="R135" s="117"/>
      <c r="T135" s="118"/>
      <c r="W135" s="119">
        <f>SUM($W$136:$W$143)</f>
        <v>20.42156</v>
      </c>
      <c r="Y135" s="119">
        <f>SUM($Y$136:$Y$143)</f>
        <v>0.5581695</v>
      </c>
      <c r="AA135" s="120">
        <f>SUM($AA$136:$AA$143)</f>
        <v>0</v>
      </c>
      <c r="AR135" s="116" t="s">
        <v>17</v>
      </c>
      <c r="AT135" s="116" t="s">
        <v>74</v>
      </c>
      <c r="AU135" s="116" t="s">
        <v>17</v>
      </c>
      <c r="AY135" s="116" t="s">
        <v>163</v>
      </c>
      <c r="BK135" s="121">
        <f>SUM($BK$136:$BK$143)</f>
        <v>0</v>
      </c>
    </row>
    <row r="136" spans="2:64" s="6" customFormat="1" ht="27" customHeight="1">
      <c r="B136" s="21"/>
      <c r="C136" s="123" t="s">
        <v>182</v>
      </c>
      <c r="D136" s="123" t="s">
        <v>164</v>
      </c>
      <c r="E136" s="124" t="s">
        <v>179</v>
      </c>
      <c r="F136" s="205" t="s">
        <v>180</v>
      </c>
      <c r="G136" s="206"/>
      <c r="H136" s="206"/>
      <c r="I136" s="206"/>
      <c r="J136" s="125" t="s">
        <v>171</v>
      </c>
      <c r="K136" s="126">
        <v>3.174</v>
      </c>
      <c r="L136" s="207">
        <v>0</v>
      </c>
      <c r="M136" s="206"/>
      <c r="N136" s="208">
        <f>ROUND($L$136*$K$136,2)</f>
        <v>0</v>
      </c>
      <c r="O136" s="206"/>
      <c r="P136" s="206"/>
      <c r="Q136" s="206"/>
      <c r="R136" s="22"/>
      <c r="T136" s="127"/>
      <c r="U136" s="28" t="s">
        <v>42</v>
      </c>
      <c r="V136" s="128">
        <v>0.46</v>
      </c>
      <c r="W136" s="128">
        <f>$V$136*$K$136</f>
        <v>1.46004</v>
      </c>
      <c r="X136" s="128">
        <v>0.01733</v>
      </c>
      <c r="Y136" s="128">
        <f>$X$136*$K$136</f>
        <v>0.055005420000000006</v>
      </c>
      <c r="Z136" s="128">
        <v>0</v>
      </c>
      <c r="AA136" s="129">
        <f>$Z$136*$K$136</f>
        <v>0</v>
      </c>
      <c r="AR136" s="6" t="s">
        <v>168</v>
      </c>
      <c r="AT136" s="6" t="s">
        <v>164</v>
      </c>
      <c r="AU136" s="6" t="s">
        <v>141</v>
      </c>
      <c r="AY136" s="6" t="s">
        <v>163</v>
      </c>
      <c r="BE136" s="82">
        <f>IF($U$136="základní",$N$136,0)</f>
        <v>0</v>
      </c>
      <c r="BF136" s="82">
        <f>IF($U$136="snížená",$N$136,0)</f>
        <v>0</v>
      </c>
      <c r="BG136" s="82">
        <f>IF($U$136="zákl. přenesená",$N$136,0)</f>
        <v>0</v>
      </c>
      <c r="BH136" s="82">
        <f>IF($U$136="sníž. přenesená",$N$136,0)</f>
        <v>0</v>
      </c>
      <c r="BI136" s="82">
        <f>IF($U$136="nulová",$N$136,0)</f>
        <v>0</v>
      </c>
      <c r="BJ136" s="6" t="s">
        <v>141</v>
      </c>
      <c r="BK136" s="82">
        <f>ROUND($L$136*$K$136,2)</f>
        <v>0</v>
      </c>
      <c r="BL136" s="6" t="s">
        <v>168</v>
      </c>
    </row>
    <row r="137" spans="2:51" s="6" customFormat="1" ht="15.75" customHeight="1">
      <c r="B137" s="130"/>
      <c r="E137" s="131"/>
      <c r="F137" s="209" t="s">
        <v>321</v>
      </c>
      <c r="G137" s="210"/>
      <c r="H137" s="210"/>
      <c r="I137" s="210"/>
      <c r="K137" s="132">
        <v>3.174</v>
      </c>
      <c r="R137" s="133"/>
      <c r="T137" s="134"/>
      <c r="AA137" s="135"/>
      <c r="AT137" s="131" t="s">
        <v>173</v>
      </c>
      <c r="AU137" s="131" t="s">
        <v>141</v>
      </c>
      <c r="AV137" s="131" t="s">
        <v>141</v>
      </c>
      <c r="AW137" s="131" t="s">
        <v>125</v>
      </c>
      <c r="AX137" s="131" t="s">
        <v>17</v>
      </c>
      <c r="AY137" s="131" t="s">
        <v>163</v>
      </c>
    </row>
    <row r="138" spans="2:64" s="6" customFormat="1" ht="27" customHeight="1">
      <c r="B138" s="21"/>
      <c r="C138" s="123" t="s">
        <v>186</v>
      </c>
      <c r="D138" s="123" t="s">
        <v>164</v>
      </c>
      <c r="E138" s="124" t="s">
        <v>183</v>
      </c>
      <c r="F138" s="205" t="s">
        <v>184</v>
      </c>
      <c r="G138" s="206"/>
      <c r="H138" s="206"/>
      <c r="I138" s="206"/>
      <c r="J138" s="125" t="s">
        <v>171</v>
      </c>
      <c r="K138" s="126">
        <v>5.516</v>
      </c>
      <c r="L138" s="207">
        <v>0</v>
      </c>
      <c r="M138" s="206"/>
      <c r="N138" s="208">
        <f>ROUND($L$138*$K$138,2)</f>
        <v>0</v>
      </c>
      <c r="O138" s="206"/>
      <c r="P138" s="206"/>
      <c r="Q138" s="206"/>
      <c r="R138" s="22"/>
      <c r="T138" s="127"/>
      <c r="U138" s="28" t="s">
        <v>42</v>
      </c>
      <c r="V138" s="128">
        <v>0.47</v>
      </c>
      <c r="W138" s="128">
        <f>$V$138*$K$138</f>
        <v>2.59252</v>
      </c>
      <c r="X138" s="128">
        <v>0.01838</v>
      </c>
      <c r="Y138" s="128">
        <f>$X$138*$K$138</f>
        <v>0.10138408</v>
      </c>
      <c r="Z138" s="128">
        <v>0</v>
      </c>
      <c r="AA138" s="129">
        <f>$Z$138*$K$138</f>
        <v>0</v>
      </c>
      <c r="AR138" s="6" t="s">
        <v>168</v>
      </c>
      <c r="AT138" s="6" t="s">
        <v>164</v>
      </c>
      <c r="AU138" s="6" t="s">
        <v>141</v>
      </c>
      <c r="AY138" s="6" t="s">
        <v>163</v>
      </c>
      <c r="BE138" s="82">
        <f>IF($U$138="základní",$N$138,0)</f>
        <v>0</v>
      </c>
      <c r="BF138" s="82">
        <f>IF($U$138="snížená",$N$138,0)</f>
        <v>0</v>
      </c>
      <c r="BG138" s="82">
        <f>IF($U$138="zákl. přenesená",$N$138,0)</f>
        <v>0</v>
      </c>
      <c r="BH138" s="82">
        <f>IF($U$138="sníž. přenesená",$N$138,0)</f>
        <v>0</v>
      </c>
      <c r="BI138" s="82">
        <f>IF($U$138="nulová",$N$138,0)</f>
        <v>0</v>
      </c>
      <c r="BJ138" s="6" t="s">
        <v>141</v>
      </c>
      <c r="BK138" s="82">
        <f>ROUND($L$138*$K$138,2)</f>
        <v>0</v>
      </c>
      <c r="BL138" s="6" t="s">
        <v>168</v>
      </c>
    </row>
    <row r="139" spans="2:51" s="6" customFormat="1" ht="15.75" customHeight="1">
      <c r="B139" s="130"/>
      <c r="E139" s="131"/>
      <c r="F139" s="209" t="s">
        <v>185</v>
      </c>
      <c r="G139" s="210"/>
      <c r="H139" s="210"/>
      <c r="I139" s="210"/>
      <c r="K139" s="132">
        <v>5.516</v>
      </c>
      <c r="R139" s="133"/>
      <c r="T139" s="134"/>
      <c r="AA139" s="135"/>
      <c r="AT139" s="131" t="s">
        <v>173</v>
      </c>
      <c r="AU139" s="131" t="s">
        <v>141</v>
      </c>
      <c r="AV139" s="131" t="s">
        <v>141</v>
      </c>
      <c r="AW139" s="131" t="s">
        <v>125</v>
      </c>
      <c r="AX139" s="131" t="s">
        <v>17</v>
      </c>
      <c r="AY139" s="131" t="s">
        <v>163</v>
      </c>
    </row>
    <row r="140" spans="2:64" s="6" customFormat="1" ht="15.75" customHeight="1">
      <c r="B140" s="21"/>
      <c r="C140" s="123" t="s">
        <v>189</v>
      </c>
      <c r="D140" s="123" t="s">
        <v>164</v>
      </c>
      <c r="E140" s="124" t="s">
        <v>187</v>
      </c>
      <c r="F140" s="205" t="s">
        <v>322</v>
      </c>
      <c r="G140" s="206"/>
      <c r="H140" s="206"/>
      <c r="I140" s="206"/>
      <c r="J140" s="125" t="s">
        <v>167</v>
      </c>
      <c r="K140" s="126">
        <v>7</v>
      </c>
      <c r="L140" s="207">
        <v>0</v>
      </c>
      <c r="M140" s="206"/>
      <c r="N140" s="208">
        <f>ROUND($L$140*$K$140,2)</f>
        <v>0</v>
      </c>
      <c r="O140" s="206"/>
      <c r="P140" s="206"/>
      <c r="Q140" s="206"/>
      <c r="R140" s="22"/>
      <c r="T140" s="127"/>
      <c r="U140" s="28" t="s">
        <v>42</v>
      </c>
      <c r="V140" s="128">
        <v>1.607</v>
      </c>
      <c r="W140" s="128">
        <f>$V$140*$K$140</f>
        <v>11.249</v>
      </c>
      <c r="X140" s="128">
        <v>0.04634</v>
      </c>
      <c r="Y140" s="128">
        <f>$X$140*$K$140</f>
        <v>0.32438</v>
      </c>
      <c r="Z140" s="128">
        <v>0</v>
      </c>
      <c r="AA140" s="129">
        <f>$Z$140*$K$140</f>
        <v>0</v>
      </c>
      <c r="AR140" s="6" t="s">
        <v>168</v>
      </c>
      <c r="AT140" s="6" t="s">
        <v>164</v>
      </c>
      <c r="AU140" s="6" t="s">
        <v>141</v>
      </c>
      <c r="AY140" s="6" t="s">
        <v>163</v>
      </c>
      <c r="BE140" s="82">
        <f>IF($U$140="základní",$N$140,0)</f>
        <v>0</v>
      </c>
      <c r="BF140" s="82">
        <f>IF($U$140="snížená",$N$140,0)</f>
        <v>0</v>
      </c>
      <c r="BG140" s="82">
        <f>IF($U$140="zákl. přenesená",$N$140,0)</f>
        <v>0</v>
      </c>
      <c r="BH140" s="82">
        <f>IF($U$140="sníž. přenesená",$N$140,0)</f>
        <v>0</v>
      </c>
      <c r="BI140" s="82">
        <f>IF($U$140="nulová",$N$140,0)</f>
        <v>0</v>
      </c>
      <c r="BJ140" s="6" t="s">
        <v>141</v>
      </c>
      <c r="BK140" s="82">
        <f>ROUND($L$140*$K$140,2)</f>
        <v>0</v>
      </c>
      <c r="BL140" s="6" t="s">
        <v>168</v>
      </c>
    </row>
    <row r="141" spans="2:64" s="6" customFormat="1" ht="15.75" customHeight="1">
      <c r="B141" s="21"/>
      <c r="C141" s="136" t="s">
        <v>193</v>
      </c>
      <c r="D141" s="136" t="s">
        <v>190</v>
      </c>
      <c r="E141" s="137" t="s">
        <v>191</v>
      </c>
      <c r="F141" s="211" t="s">
        <v>192</v>
      </c>
      <c r="G141" s="212"/>
      <c r="H141" s="212"/>
      <c r="I141" s="212"/>
      <c r="J141" s="138" t="s">
        <v>167</v>
      </c>
      <c r="K141" s="139">
        <v>6</v>
      </c>
      <c r="L141" s="213">
        <v>0</v>
      </c>
      <c r="M141" s="212"/>
      <c r="N141" s="214">
        <f>ROUND($L$141*$K$141,2)</f>
        <v>0</v>
      </c>
      <c r="O141" s="206"/>
      <c r="P141" s="206"/>
      <c r="Q141" s="206"/>
      <c r="R141" s="22"/>
      <c r="T141" s="127"/>
      <c r="U141" s="28" t="s">
        <v>42</v>
      </c>
      <c r="V141" s="128">
        <v>0</v>
      </c>
      <c r="W141" s="128">
        <f>$V$141*$K$141</f>
        <v>0</v>
      </c>
      <c r="X141" s="128">
        <v>0.011</v>
      </c>
      <c r="Y141" s="128">
        <f>$X$141*$K$141</f>
        <v>0.066</v>
      </c>
      <c r="Z141" s="128">
        <v>0</v>
      </c>
      <c r="AA141" s="129">
        <f>$Z$141*$K$141</f>
        <v>0</v>
      </c>
      <c r="AR141" s="6" t="s">
        <v>193</v>
      </c>
      <c r="AT141" s="6" t="s">
        <v>190</v>
      </c>
      <c r="AU141" s="6" t="s">
        <v>141</v>
      </c>
      <c r="AY141" s="6" t="s">
        <v>163</v>
      </c>
      <c r="BE141" s="82">
        <f>IF($U$141="základní",$N$141,0)</f>
        <v>0</v>
      </c>
      <c r="BF141" s="82">
        <f>IF($U$141="snížená",$N$141,0)</f>
        <v>0</v>
      </c>
      <c r="BG141" s="82">
        <f>IF($U$141="zákl. přenesená",$N$141,0)</f>
        <v>0</v>
      </c>
      <c r="BH141" s="82">
        <f>IF($U$141="sníž. přenesená",$N$141,0)</f>
        <v>0</v>
      </c>
      <c r="BI141" s="82">
        <f>IF($U$141="nulová",$N$141,0)</f>
        <v>0</v>
      </c>
      <c r="BJ141" s="6" t="s">
        <v>141</v>
      </c>
      <c r="BK141" s="82">
        <f>ROUND($L$141*$K$141,2)</f>
        <v>0</v>
      </c>
      <c r="BL141" s="6" t="s">
        <v>168</v>
      </c>
    </row>
    <row r="142" spans="2:64" s="6" customFormat="1" ht="15.75" customHeight="1">
      <c r="B142" s="21"/>
      <c r="C142" s="136" t="s">
        <v>196</v>
      </c>
      <c r="D142" s="136" t="s">
        <v>190</v>
      </c>
      <c r="E142" s="137" t="s">
        <v>194</v>
      </c>
      <c r="F142" s="211" t="s">
        <v>195</v>
      </c>
      <c r="G142" s="212"/>
      <c r="H142" s="212"/>
      <c r="I142" s="212"/>
      <c r="J142" s="138" t="s">
        <v>167</v>
      </c>
      <c r="K142" s="139">
        <v>1</v>
      </c>
      <c r="L142" s="213">
        <v>0</v>
      </c>
      <c r="M142" s="212"/>
      <c r="N142" s="214">
        <f>ROUND($L$142*$K$142,2)</f>
        <v>0</v>
      </c>
      <c r="O142" s="206"/>
      <c r="P142" s="206"/>
      <c r="Q142" s="206"/>
      <c r="R142" s="22"/>
      <c r="T142" s="127"/>
      <c r="U142" s="28" t="s">
        <v>42</v>
      </c>
      <c r="V142" s="128">
        <v>0</v>
      </c>
      <c r="W142" s="128">
        <f>$V$142*$K$142</f>
        <v>0</v>
      </c>
      <c r="X142" s="128">
        <v>0.0114</v>
      </c>
      <c r="Y142" s="128">
        <f>$X$142*$K$142</f>
        <v>0.0114</v>
      </c>
      <c r="Z142" s="128">
        <v>0</v>
      </c>
      <c r="AA142" s="129">
        <f>$Z$142*$K$142</f>
        <v>0</v>
      </c>
      <c r="AR142" s="6" t="s">
        <v>193</v>
      </c>
      <c r="AT142" s="6" t="s">
        <v>190</v>
      </c>
      <c r="AU142" s="6" t="s">
        <v>141</v>
      </c>
      <c r="AY142" s="6" t="s">
        <v>163</v>
      </c>
      <c r="BE142" s="82">
        <f>IF($U$142="základní",$N$142,0)</f>
        <v>0</v>
      </c>
      <c r="BF142" s="82">
        <f>IF($U$142="snížená",$N$142,0)</f>
        <v>0</v>
      </c>
      <c r="BG142" s="82">
        <f>IF($U$142="zákl. přenesená",$N$142,0)</f>
        <v>0</v>
      </c>
      <c r="BH142" s="82">
        <f>IF($U$142="sníž. přenesená",$N$142,0)</f>
        <v>0</v>
      </c>
      <c r="BI142" s="82">
        <f>IF($U$142="nulová",$N$142,0)</f>
        <v>0</v>
      </c>
      <c r="BJ142" s="6" t="s">
        <v>141</v>
      </c>
      <c r="BK142" s="82">
        <f>ROUND($L$142*$K$142,2)</f>
        <v>0</v>
      </c>
      <c r="BL142" s="6" t="s">
        <v>168</v>
      </c>
    </row>
    <row r="143" spans="2:64" s="6" customFormat="1" ht="27" customHeight="1">
      <c r="B143" s="21"/>
      <c r="C143" s="123" t="s">
        <v>22</v>
      </c>
      <c r="D143" s="123" t="s">
        <v>164</v>
      </c>
      <c r="E143" s="124" t="s">
        <v>197</v>
      </c>
      <c r="F143" s="205" t="s">
        <v>323</v>
      </c>
      <c r="G143" s="206"/>
      <c r="H143" s="206"/>
      <c r="I143" s="206"/>
      <c r="J143" s="125" t="s">
        <v>167</v>
      </c>
      <c r="K143" s="126">
        <v>32</v>
      </c>
      <c r="L143" s="207">
        <v>0</v>
      </c>
      <c r="M143" s="206"/>
      <c r="N143" s="208">
        <f>ROUND($L$143*$K$143,2)</f>
        <v>0</v>
      </c>
      <c r="O143" s="206"/>
      <c r="P143" s="206"/>
      <c r="Q143" s="206"/>
      <c r="R143" s="22"/>
      <c r="T143" s="127"/>
      <c r="U143" s="28" t="s">
        <v>42</v>
      </c>
      <c r="V143" s="128">
        <v>0.16</v>
      </c>
      <c r="W143" s="128">
        <f>$V$143*$K$143</f>
        <v>5.12</v>
      </c>
      <c r="X143" s="128">
        <v>0</v>
      </c>
      <c r="Y143" s="128">
        <f>$X$143*$K$143</f>
        <v>0</v>
      </c>
      <c r="Z143" s="128">
        <v>0</v>
      </c>
      <c r="AA143" s="129">
        <f>$Z$143*$K$143</f>
        <v>0</v>
      </c>
      <c r="AR143" s="6" t="s">
        <v>168</v>
      </c>
      <c r="AT143" s="6" t="s">
        <v>164</v>
      </c>
      <c r="AU143" s="6" t="s">
        <v>141</v>
      </c>
      <c r="AY143" s="6" t="s">
        <v>163</v>
      </c>
      <c r="BE143" s="82">
        <f>IF($U$143="základní",$N$143,0)</f>
        <v>0</v>
      </c>
      <c r="BF143" s="82">
        <f>IF($U$143="snížená",$N$143,0)</f>
        <v>0</v>
      </c>
      <c r="BG143" s="82">
        <f>IF($U$143="zákl. přenesená",$N$143,0)</f>
        <v>0</v>
      </c>
      <c r="BH143" s="82">
        <f>IF($U$143="sníž. přenesená",$N$143,0)</f>
        <v>0</v>
      </c>
      <c r="BI143" s="82">
        <f>IF($U$143="nulová",$N$143,0)</f>
        <v>0</v>
      </c>
      <c r="BJ143" s="6" t="s">
        <v>141</v>
      </c>
      <c r="BK143" s="82">
        <f>ROUND($L$143*$K$143,2)</f>
        <v>0</v>
      </c>
      <c r="BL143" s="6" t="s">
        <v>168</v>
      </c>
    </row>
    <row r="144" spans="2:63" s="113" customFormat="1" ht="30.75" customHeight="1">
      <c r="B144" s="114"/>
      <c r="D144" s="122" t="s">
        <v>129</v>
      </c>
      <c r="N144" s="223">
        <f>$BK$144</f>
        <v>0</v>
      </c>
      <c r="O144" s="222"/>
      <c r="P144" s="222"/>
      <c r="Q144" s="222"/>
      <c r="R144" s="117"/>
      <c r="T144" s="118"/>
      <c r="W144" s="119">
        <f>$W$145+SUM($W$146:$W$154)</f>
        <v>80.69028899999999</v>
      </c>
      <c r="Y144" s="119">
        <f>$Y$145+SUM($Y$146:$Y$154)</f>
        <v>0.009877440000000001</v>
      </c>
      <c r="AA144" s="120">
        <f>$AA$145+SUM($AA$146:$AA$154)</f>
        <v>0.209608</v>
      </c>
      <c r="AR144" s="116" t="s">
        <v>17</v>
      </c>
      <c r="AT144" s="116" t="s">
        <v>74</v>
      </c>
      <c r="AU144" s="116" t="s">
        <v>17</v>
      </c>
      <c r="AY144" s="116" t="s">
        <v>163</v>
      </c>
      <c r="BK144" s="121">
        <f>$BK$145+SUM($BK$146:$BK$154)</f>
        <v>0</v>
      </c>
    </row>
    <row r="145" spans="2:64" s="6" customFormat="1" ht="27" customHeight="1">
      <c r="B145" s="21"/>
      <c r="C145" s="123" t="s">
        <v>201</v>
      </c>
      <c r="D145" s="123" t="s">
        <v>164</v>
      </c>
      <c r="E145" s="124" t="s">
        <v>199</v>
      </c>
      <c r="F145" s="205" t="s">
        <v>200</v>
      </c>
      <c r="G145" s="206"/>
      <c r="H145" s="206"/>
      <c r="I145" s="206"/>
      <c r="J145" s="125" t="s">
        <v>171</v>
      </c>
      <c r="K145" s="126">
        <v>246.936</v>
      </c>
      <c r="L145" s="207">
        <v>0</v>
      </c>
      <c r="M145" s="206"/>
      <c r="N145" s="208">
        <f>ROUND($L$145*$K$145,2)</f>
        <v>0</v>
      </c>
      <c r="O145" s="206"/>
      <c r="P145" s="206"/>
      <c r="Q145" s="206"/>
      <c r="R145" s="22"/>
      <c r="T145" s="127"/>
      <c r="U145" s="28" t="s">
        <v>42</v>
      </c>
      <c r="V145" s="128">
        <v>0.308</v>
      </c>
      <c r="W145" s="128">
        <f>$V$145*$K$145</f>
        <v>76.056288</v>
      </c>
      <c r="X145" s="128">
        <v>4E-05</v>
      </c>
      <c r="Y145" s="128">
        <f>$X$145*$K$145</f>
        <v>0.009877440000000001</v>
      </c>
      <c r="Z145" s="128">
        <v>0</v>
      </c>
      <c r="AA145" s="129">
        <f>$Z$145*$K$145</f>
        <v>0</v>
      </c>
      <c r="AR145" s="6" t="s">
        <v>168</v>
      </c>
      <c r="AT145" s="6" t="s">
        <v>164</v>
      </c>
      <c r="AU145" s="6" t="s">
        <v>141</v>
      </c>
      <c r="AY145" s="6" t="s">
        <v>163</v>
      </c>
      <c r="BE145" s="82">
        <f>IF($U$145="základní",$N$145,0)</f>
        <v>0</v>
      </c>
      <c r="BF145" s="82">
        <f>IF($U$145="snížená",$N$145,0)</f>
        <v>0</v>
      </c>
      <c r="BG145" s="82">
        <f>IF($U$145="zákl. přenesená",$N$145,0)</f>
        <v>0</v>
      </c>
      <c r="BH145" s="82">
        <f>IF($U$145="sníž. přenesená",$N$145,0)</f>
        <v>0</v>
      </c>
      <c r="BI145" s="82">
        <f>IF($U$145="nulová",$N$145,0)</f>
        <v>0</v>
      </c>
      <c r="BJ145" s="6" t="s">
        <v>141</v>
      </c>
      <c r="BK145" s="82">
        <f>ROUND($L$145*$K$145,2)</f>
        <v>0</v>
      </c>
      <c r="BL145" s="6" t="s">
        <v>168</v>
      </c>
    </row>
    <row r="146" spans="2:51" s="6" customFormat="1" ht="27" customHeight="1">
      <c r="B146" s="130"/>
      <c r="E146" s="131"/>
      <c r="F146" s="209" t="s">
        <v>324</v>
      </c>
      <c r="G146" s="210"/>
      <c r="H146" s="210"/>
      <c r="I146" s="210"/>
      <c r="K146" s="132">
        <v>29.99</v>
      </c>
      <c r="R146" s="133"/>
      <c r="T146" s="134"/>
      <c r="AA146" s="135"/>
      <c r="AT146" s="131" t="s">
        <v>173</v>
      </c>
      <c r="AU146" s="131" t="s">
        <v>141</v>
      </c>
      <c r="AV146" s="131" t="s">
        <v>141</v>
      </c>
      <c r="AW146" s="131" t="s">
        <v>125</v>
      </c>
      <c r="AX146" s="131" t="s">
        <v>75</v>
      </c>
      <c r="AY146" s="131" t="s">
        <v>163</v>
      </c>
    </row>
    <row r="147" spans="2:51" s="6" customFormat="1" ht="27" customHeight="1">
      <c r="B147" s="130"/>
      <c r="E147" s="131"/>
      <c r="F147" s="209" t="s">
        <v>325</v>
      </c>
      <c r="G147" s="210"/>
      <c r="H147" s="210"/>
      <c r="I147" s="210"/>
      <c r="K147" s="132">
        <v>25.77</v>
      </c>
      <c r="R147" s="133"/>
      <c r="T147" s="134"/>
      <c r="AA147" s="135"/>
      <c r="AT147" s="131" t="s">
        <v>173</v>
      </c>
      <c r="AU147" s="131" t="s">
        <v>141</v>
      </c>
      <c r="AV147" s="131" t="s">
        <v>141</v>
      </c>
      <c r="AW147" s="131" t="s">
        <v>125</v>
      </c>
      <c r="AX147" s="131" t="s">
        <v>75</v>
      </c>
      <c r="AY147" s="131" t="s">
        <v>163</v>
      </c>
    </row>
    <row r="148" spans="2:51" s="6" customFormat="1" ht="27" customHeight="1">
      <c r="B148" s="130"/>
      <c r="E148" s="131"/>
      <c r="F148" s="209" t="s">
        <v>326</v>
      </c>
      <c r="G148" s="210"/>
      <c r="H148" s="210"/>
      <c r="I148" s="210"/>
      <c r="K148" s="132">
        <v>43.77</v>
      </c>
      <c r="R148" s="133"/>
      <c r="T148" s="134"/>
      <c r="AA148" s="135"/>
      <c r="AT148" s="131" t="s">
        <v>173</v>
      </c>
      <c r="AU148" s="131" t="s">
        <v>141</v>
      </c>
      <c r="AV148" s="131" t="s">
        <v>141</v>
      </c>
      <c r="AW148" s="131" t="s">
        <v>125</v>
      </c>
      <c r="AX148" s="131" t="s">
        <v>75</v>
      </c>
      <c r="AY148" s="131" t="s">
        <v>163</v>
      </c>
    </row>
    <row r="149" spans="2:51" s="6" customFormat="1" ht="27" customHeight="1">
      <c r="B149" s="130"/>
      <c r="E149" s="131"/>
      <c r="F149" s="209" t="s">
        <v>327</v>
      </c>
      <c r="G149" s="210"/>
      <c r="H149" s="210"/>
      <c r="I149" s="210"/>
      <c r="K149" s="132">
        <v>141.38</v>
      </c>
      <c r="R149" s="133"/>
      <c r="T149" s="134"/>
      <c r="AA149" s="135"/>
      <c r="AT149" s="131" t="s">
        <v>173</v>
      </c>
      <c r="AU149" s="131" t="s">
        <v>141</v>
      </c>
      <c r="AV149" s="131" t="s">
        <v>141</v>
      </c>
      <c r="AW149" s="131" t="s">
        <v>125</v>
      </c>
      <c r="AX149" s="131" t="s">
        <v>75</v>
      </c>
      <c r="AY149" s="131" t="s">
        <v>163</v>
      </c>
    </row>
    <row r="150" spans="2:51" s="6" customFormat="1" ht="15.75" customHeight="1">
      <c r="B150" s="130"/>
      <c r="E150" s="131"/>
      <c r="F150" s="209" t="s">
        <v>328</v>
      </c>
      <c r="G150" s="210"/>
      <c r="H150" s="210"/>
      <c r="I150" s="210"/>
      <c r="K150" s="132">
        <v>6.026</v>
      </c>
      <c r="R150" s="133"/>
      <c r="T150" s="134"/>
      <c r="AA150" s="135"/>
      <c r="AT150" s="131" t="s">
        <v>173</v>
      </c>
      <c r="AU150" s="131" t="s">
        <v>141</v>
      </c>
      <c r="AV150" s="131" t="s">
        <v>141</v>
      </c>
      <c r="AW150" s="131" t="s">
        <v>125</v>
      </c>
      <c r="AX150" s="131" t="s">
        <v>75</v>
      </c>
      <c r="AY150" s="131" t="s">
        <v>163</v>
      </c>
    </row>
    <row r="151" spans="2:51" s="6" customFormat="1" ht="15.75" customHeight="1">
      <c r="B151" s="141"/>
      <c r="E151" s="142"/>
      <c r="F151" s="215" t="s">
        <v>286</v>
      </c>
      <c r="G151" s="216"/>
      <c r="H151" s="216"/>
      <c r="I151" s="216"/>
      <c r="K151" s="143">
        <v>246.936</v>
      </c>
      <c r="R151" s="144"/>
      <c r="T151" s="145"/>
      <c r="AA151" s="146"/>
      <c r="AT151" s="142" t="s">
        <v>173</v>
      </c>
      <c r="AU151" s="142" t="s">
        <v>141</v>
      </c>
      <c r="AV151" s="142" t="s">
        <v>168</v>
      </c>
      <c r="AW151" s="142" t="s">
        <v>125</v>
      </c>
      <c r="AX151" s="142" t="s">
        <v>17</v>
      </c>
      <c r="AY151" s="142" t="s">
        <v>163</v>
      </c>
    </row>
    <row r="152" spans="2:64" s="6" customFormat="1" ht="27" customHeight="1">
      <c r="B152" s="21"/>
      <c r="C152" s="123" t="s">
        <v>205</v>
      </c>
      <c r="D152" s="123" t="s">
        <v>164</v>
      </c>
      <c r="E152" s="124" t="s">
        <v>206</v>
      </c>
      <c r="F152" s="205" t="s">
        <v>207</v>
      </c>
      <c r="G152" s="206"/>
      <c r="H152" s="206"/>
      <c r="I152" s="206"/>
      <c r="J152" s="125" t="s">
        <v>171</v>
      </c>
      <c r="K152" s="126">
        <v>2.758</v>
      </c>
      <c r="L152" s="207">
        <v>0</v>
      </c>
      <c r="M152" s="206"/>
      <c r="N152" s="208">
        <f>ROUND($L$152*$K$152,2)</f>
        <v>0</v>
      </c>
      <c r="O152" s="206"/>
      <c r="P152" s="206"/>
      <c r="Q152" s="206"/>
      <c r="R152" s="22"/>
      <c r="T152" s="127"/>
      <c r="U152" s="28" t="s">
        <v>42</v>
      </c>
      <c r="V152" s="128">
        <v>0.939</v>
      </c>
      <c r="W152" s="128">
        <f>$V$152*$K$152</f>
        <v>2.589762</v>
      </c>
      <c r="X152" s="128">
        <v>0</v>
      </c>
      <c r="Y152" s="128">
        <f>$X$152*$K$152</f>
        <v>0</v>
      </c>
      <c r="Z152" s="128">
        <v>0.076</v>
      </c>
      <c r="AA152" s="129">
        <f>$Z$152*$K$152</f>
        <v>0.209608</v>
      </c>
      <c r="AR152" s="6" t="s">
        <v>168</v>
      </c>
      <c r="AT152" s="6" t="s">
        <v>164</v>
      </c>
      <c r="AU152" s="6" t="s">
        <v>141</v>
      </c>
      <c r="AY152" s="6" t="s">
        <v>163</v>
      </c>
      <c r="BE152" s="82">
        <f>IF($U$152="základní",$N$152,0)</f>
        <v>0</v>
      </c>
      <c r="BF152" s="82">
        <f>IF($U$152="snížená",$N$152,0)</f>
        <v>0</v>
      </c>
      <c r="BG152" s="82">
        <f>IF($U$152="zákl. přenesená",$N$152,0)</f>
        <v>0</v>
      </c>
      <c r="BH152" s="82">
        <f>IF($U$152="sníž. přenesená",$N$152,0)</f>
        <v>0</v>
      </c>
      <c r="BI152" s="82">
        <f>IF($U$152="nulová",$N$152,0)</f>
        <v>0</v>
      </c>
      <c r="BJ152" s="6" t="s">
        <v>141</v>
      </c>
      <c r="BK152" s="82">
        <f>ROUND($L$152*$K$152,2)</f>
        <v>0</v>
      </c>
      <c r="BL152" s="6" t="s">
        <v>168</v>
      </c>
    </row>
    <row r="153" spans="2:51" s="6" customFormat="1" ht="15.75" customHeight="1">
      <c r="B153" s="130"/>
      <c r="E153" s="131"/>
      <c r="F153" s="209" t="s">
        <v>329</v>
      </c>
      <c r="G153" s="210"/>
      <c r="H153" s="210"/>
      <c r="I153" s="210"/>
      <c r="K153" s="132">
        <v>2.758</v>
      </c>
      <c r="R153" s="133"/>
      <c r="T153" s="134"/>
      <c r="AA153" s="135"/>
      <c r="AT153" s="131" t="s">
        <v>173</v>
      </c>
      <c r="AU153" s="131" t="s">
        <v>141</v>
      </c>
      <c r="AV153" s="131" t="s">
        <v>141</v>
      </c>
      <c r="AW153" s="131" t="s">
        <v>125</v>
      </c>
      <c r="AX153" s="131" t="s">
        <v>17</v>
      </c>
      <c r="AY153" s="131" t="s">
        <v>163</v>
      </c>
    </row>
    <row r="154" spans="2:63" s="113" customFormat="1" ht="23.25" customHeight="1">
      <c r="B154" s="114"/>
      <c r="D154" s="122" t="s">
        <v>130</v>
      </c>
      <c r="N154" s="223">
        <f>$BK$154</f>
        <v>0</v>
      </c>
      <c r="O154" s="222"/>
      <c r="P154" s="222"/>
      <c r="Q154" s="222"/>
      <c r="R154" s="117"/>
      <c r="T154" s="118"/>
      <c r="W154" s="119">
        <f>SUM($W$155:$W$160)</f>
        <v>2.044239</v>
      </c>
      <c r="Y154" s="119">
        <f>SUM($Y$155:$Y$160)</f>
        <v>0</v>
      </c>
      <c r="AA154" s="120">
        <f>SUM($AA$155:$AA$160)</f>
        <v>0</v>
      </c>
      <c r="AR154" s="116" t="s">
        <v>17</v>
      </c>
      <c r="AT154" s="116" t="s">
        <v>74</v>
      </c>
      <c r="AU154" s="116" t="s">
        <v>141</v>
      </c>
      <c r="AY154" s="116" t="s">
        <v>163</v>
      </c>
      <c r="BK154" s="121">
        <f>SUM($BK$155:$BK$160)</f>
        <v>0</v>
      </c>
    </row>
    <row r="155" spans="2:64" s="6" customFormat="1" ht="15.75" customHeight="1">
      <c r="B155" s="21"/>
      <c r="C155" s="123" t="s">
        <v>209</v>
      </c>
      <c r="D155" s="123" t="s">
        <v>164</v>
      </c>
      <c r="E155" s="124" t="s">
        <v>214</v>
      </c>
      <c r="F155" s="205" t="s">
        <v>215</v>
      </c>
      <c r="G155" s="206"/>
      <c r="H155" s="206"/>
      <c r="I155" s="206"/>
      <c r="J155" s="125" t="s">
        <v>216</v>
      </c>
      <c r="K155" s="126">
        <v>0.595</v>
      </c>
      <c r="L155" s="207">
        <v>0</v>
      </c>
      <c r="M155" s="206"/>
      <c r="N155" s="208">
        <f>ROUND($L$155*$K$155,2)</f>
        <v>0</v>
      </c>
      <c r="O155" s="206"/>
      <c r="P155" s="206"/>
      <c r="Q155" s="206"/>
      <c r="R155" s="22"/>
      <c r="T155" s="127"/>
      <c r="U155" s="28" t="s">
        <v>42</v>
      </c>
      <c r="V155" s="128">
        <v>0.136</v>
      </c>
      <c r="W155" s="128">
        <f>$V$155*$K$155</f>
        <v>0.08092</v>
      </c>
      <c r="X155" s="128">
        <v>0</v>
      </c>
      <c r="Y155" s="128">
        <f>$X$155*$K$155</f>
        <v>0</v>
      </c>
      <c r="Z155" s="128">
        <v>0</v>
      </c>
      <c r="AA155" s="129">
        <f>$Z$155*$K$155</f>
        <v>0</v>
      </c>
      <c r="AR155" s="6" t="s">
        <v>168</v>
      </c>
      <c r="AT155" s="6" t="s">
        <v>164</v>
      </c>
      <c r="AU155" s="6" t="s">
        <v>174</v>
      </c>
      <c r="AY155" s="6" t="s">
        <v>163</v>
      </c>
      <c r="BE155" s="82">
        <f>IF($U$155="základní",$N$155,0)</f>
        <v>0</v>
      </c>
      <c r="BF155" s="82">
        <f>IF($U$155="snížená",$N$155,0)</f>
        <v>0</v>
      </c>
      <c r="BG155" s="82">
        <f>IF($U$155="zákl. přenesená",$N$155,0)</f>
        <v>0</v>
      </c>
      <c r="BH155" s="82">
        <f>IF($U$155="sníž. přenesená",$N$155,0)</f>
        <v>0</v>
      </c>
      <c r="BI155" s="82">
        <f>IF($U$155="nulová",$N$155,0)</f>
        <v>0</v>
      </c>
      <c r="BJ155" s="6" t="s">
        <v>141</v>
      </c>
      <c r="BK155" s="82">
        <f>ROUND($L$155*$K$155,2)</f>
        <v>0</v>
      </c>
      <c r="BL155" s="6" t="s">
        <v>168</v>
      </c>
    </row>
    <row r="156" spans="2:64" s="6" customFormat="1" ht="27" customHeight="1">
      <c r="B156" s="21"/>
      <c r="C156" s="123" t="s">
        <v>213</v>
      </c>
      <c r="D156" s="123" t="s">
        <v>164</v>
      </c>
      <c r="E156" s="124" t="s">
        <v>217</v>
      </c>
      <c r="F156" s="205" t="s">
        <v>218</v>
      </c>
      <c r="G156" s="206"/>
      <c r="H156" s="206"/>
      <c r="I156" s="206"/>
      <c r="J156" s="125" t="s">
        <v>216</v>
      </c>
      <c r="K156" s="126">
        <v>0.595</v>
      </c>
      <c r="L156" s="207">
        <v>0</v>
      </c>
      <c r="M156" s="206"/>
      <c r="N156" s="208">
        <f>ROUND($L$156*$K$156,2)</f>
        <v>0</v>
      </c>
      <c r="O156" s="206"/>
      <c r="P156" s="206"/>
      <c r="Q156" s="206"/>
      <c r="R156" s="22"/>
      <c r="T156" s="127"/>
      <c r="U156" s="28" t="s">
        <v>42</v>
      </c>
      <c r="V156" s="128">
        <v>0.125</v>
      </c>
      <c r="W156" s="128">
        <f>$V$156*$K$156</f>
        <v>0.074375</v>
      </c>
      <c r="X156" s="128">
        <v>0</v>
      </c>
      <c r="Y156" s="128">
        <f>$X$156*$K$156</f>
        <v>0</v>
      </c>
      <c r="Z156" s="128">
        <v>0</v>
      </c>
      <c r="AA156" s="129">
        <f>$Z$156*$K$156</f>
        <v>0</v>
      </c>
      <c r="AR156" s="6" t="s">
        <v>168</v>
      </c>
      <c r="AT156" s="6" t="s">
        <v>164</v>
      </c>
      <c r="AU156" s="6" t="s">
        <v>174</v>
      </c>
      <c r="AY156" s="6" t="s">
        <v>163</v>
      </c>
      <c r="BE156" s="82">
        <f>IF($U$156="základní",$N$156,0)</f>
        <v>0</v>
      </c>
      <c r="BF156" s="82">
        <f>IF($U$156="snížená",$N$156,0)</f>
        <v>0</v>
      </c>
      <c r="BG156" s="82">
        <f>IF($U$156="zákl. přenesená",$N$156,0)</f>
        <v>0</v>
      </c>
      <c r="BH156" s="82">
        <f>IF($U$156="sníž. přenesená",$N$156,0)</f>
        <v>0</v>
      </c>
      <c r="BI156" s="82">
        <f>IF($U$156="nulová",$N$156,0)</f>
        <v>0</v>
      </c>
      <c r="BJ156" s="6" t="s">
        <v>141</v>
      </c>
      <c r="BK156" s="82">
        <f>ROUND($L$156*$K$156,2)</f>
        <v>0</v>
      </c>
      <c r="BL156" s="6" t="s">
        <v>168</v>
      </c>
    </row>
    <row r="157" spans="2:64" s="6" customFormat="1" ht="27" customHeight="1">
      <c r="B157" s="21"/>
      <c r="C157" s="123" t="s">
        <v>8</v>
      </c>
      <c r="D157" s="123" t="s">
        <v>164</v>
      </c>
      <c r="E157" s="124" t="s">
        <v>220</v>
      </c>
      <c r="F157" s="205" t="s">
        <v>221</v>
      </c>
      <c r="G157" s="206"/>
      <c r="H157" s="206"/>
      <c r="I157" s="206"/>
      <c r="J157" s="125" t="s">
        <v>216</v>
      </c>
      <c r="K157" s="126">
        <v>10.71</v>
      </c>
      <c r="L157" s="207">
        <v>0</v>
      </c>
      <c r="M157" s="206"/>
      <c r="N157" s="208">
        <f>ROUND($L$157*$K$157,2)</f>
        <v>0</v>
      </c>
      <c r="O157" s="206"/>
      <c r="P157" s="206"/>
      <c r="Q157" s="206"/>
      <c r="R157" s="22"/>
      <c r="T157" s="127"/>
      <c r="U157" s="28" t="s">
        <v>42</v>
      </c>
      <c r="V157" s="128">
        <v>0.006</v>
      </c>
      <c r="W157" s="128">
        <f>$V$157*$K$157</f>
        <v>0.06426000000000001</v>
      </c>
      <c r="X157" s="128">
        <v>0</v>
      </c>
      <c r="Y157" s="128">
        <f>$X$157*$K$157</f>
        <v>0</v>
      </c>
      <c r="Z157" s="128">
        <v>0</v>
      </c>
      <c r="AA157" s="129">
        <f>$Z$157*$K$157</f>
        <v>0</v>
      </c>
      <c r="AR157" s="6" t="s">
        <v>168</v>
      </c>
      <c r="AT157" s="6" t="s">
        <v>164</v>
      </c>
      <c r="AU157" s="6" t="s">
        <v>174</v>
      </c>
      <c r="AY157" s="6" t="s">
        <v>163</v>
      </c>
      <c r="BE157" s="82">
        <f>IF($U$157="základní",$N$157,0)</f>
        <v>0</v>
      </c>
      <c r="BF157" s="82">
        <f>IF($U$157="snížená",$N$157,0)</f>
        <v>0</v>
      </c>
      <c r="BG157" s="82">
        <f>IF($U$157="zákl. přenesená",$N$157,0)</f>
        <v>0</v>
      </c>
      <c r="BH157" s="82">
        <f>IF($U$157="sníž. přenesená",$N$157,0)</f>
        <v>0</v>
      </c>
      <c r="BI157" s="82">
        <f>IF($U$157="nulová",$N$157,0)</f>
        <v>0</v>
      </c>
      <c r="BJ157" s="6" t="s">
        <v>141</v>
      </c>
      <c r="BK157" s="82">
        <f>ROUND($L$157*$K$157,2)</f>
        <v>0</v>
      </c>
      <c r="BL157" s="6" t="s">
        <v>168</v>
      </c>
    </row>
    <row r="158" spans="2:51" s="6" customFormat="1" ht="15.75" customHeight="1">
      <c r="B158" s="130"/>
      <c r="E158" s="131"/>
      <c r="F158" s="209" t="s">
        <v>330</v>
      </c>
      <c r="G158" s="210"/>
      <c r="H158" s="210"/>
      <c r="I158" s="210"/>
      <c r="K158" s="132">
        <v>10.71</v>
      </c>
      <c r="R158" s="133"/>
      <c r="T158" s="134"/>
      <c r="AA158" s="135"/>
      <c r="AT158" s="131" t="s">
        <v>173</v>
      </c>
      <c r="AU158" s="131" t="s">
        <v>174</v>
      </c>
      <c r="AV158" s="131" t="s">
        <v>141</v>
      </c>
      <c r="AW158" s="131" t="s">
        <v>125</v>
      </c>
      <c r="AX158" s="131" t="s">
        <v>17</v>
      </c>
      <c r="AY158" s="131" t="s">
        <v>163</v>
      </c>
    </row>
    <row r="159" spans="2:64" s="6" customFormat="1" ht="27" customHeight="1">
      <c r="B159" s="21"/>
      <c r="C159" s="123" t="s">
        <v>219</v>
      </c>
      <c r="D159" s="123" t="s">
        <v>164</v>
      </c>
      <c r="E159" s="124" t="s">
        <v>224</v>
      </c>
      <c r="F159" s="205" t="s">
        <v>225</v>
      </c>
      <c r="G159" s="206"/>
      <c r="H159" s="206"/>
      <c r="I159" s="206"/>
      <c r="J159" s="125" t="s">
        <v>216</v>
      </c>
      <c r="K159" s="126">
        <v>0.595</v>
      </c>
      <c r="L159" s="207">
        <v>0</v>
      </c>
      <c r="M159" s="206"/>
      <c r="N159" s="208">
        <f>ROUND($L$159*$K$159,2)</f>
        <v>0</v>
      </c>
      <c r="O159" s="206"/>
      <c r="P159" s="206"/>
      <c r="Q159" s="206"/>
      <c r="R159" s="22"/>
      <c r="T159" s="127"/>
      <c r="U159" s="28" t="s">
        <v>42</v>
      </c>
      <c r="V159" s="128">
        <v>0</v>
      </c>
      <c r="W159" s="128">
        <f>$V$159*$K$159</f>
        <v>0</v>
      </c>
      <c r="X159" s="128">
        <v>0</v>
      </c>
      <c r="Y159" s="128">
        <f>$X$159*$K$159</f>
        <v>0</v>
      </c>
      <c r="Z159" s="128">
        <v>0</v>
      </c>
      <c r="AA159" s="129">
        <f>$Z$159*$K$159</f>
        <v>0</v>
      </c>
      <c r="AR159" s="6" t="s">
        <v>168</v>
      </c>
      <c r="AT159" s="6" t="s">
        <v>164</v>
      </c>
      <c r="AU159" s="6" t="s">
        <v>174</v>
      </c>
      <c r="AY159" s="6" t="s">
        <v>163</v>
      </c>
      <c r="BE159" s="82">
        <f>IF($U$159="základní",$N$159,0)</f>
        <v>0</v>
      </c>
      <c r="BF159" s="82">
        <f>IF($U$159="snížená",$N$159,0)</f>
        <v>0</v>
      </c>
      <c r="BG159" s="82">
        <f>IF($U$159="zákl. přenesená",$N$159,0)</f>
        <v>0</v>
      </c>
      <c r="BH159" s="82">
        <f>IF($U$159="sníž. přenesená",$N$159,0)</f>
        <v>0</v>
      </c>
      <c r="BI159" s="82">
        <f>IF($U$159="nulová",$N$159,0)</f>
        <v>0</v>
      </c>
      <c r="BJ159" s="6" t="s">
        <v>141</v>
      </c>
      <c r="BK159" s="82">
        <f>ROUND($L$159*$K$159,2)</f>
        <v>0</v>
      </c>
      <c r="BL159" s="6" t="s">
        <v>168</v>
      </c>
    </row>
    <row r="160" spans="2:64" s="6" customFormat="1" ht="15.75" customHeight="1">
      <c r="B160" s="21"/>
      <c r="C160" s="123" t="s">
        <v>223</v>
      </c>
      <c r="D160" s="123" t="s">
        <v>164</v>
      </c>
      <c r="E160" s="124" t="s">
        <v>227</v>
      </c>
      <c r="F160" s="205" t="s">
        <v>228</v>
      </c>
      <c r="G160" s="206"/>
      <c r="H160" s="206"/>
      <c r="I160" s="206"/>
      <c r="J160" s="125" t="s">
        <v>216</v>
      </c>
      <c r="K160" s="126">
        <v>5.738</v>
      </c>
      <c r="L160" s="207">
        <v>0</v>
      </c>
      <c r="M160" s="206"/>
      <c r="N160" s="208">
        <f>ROUND($L$160*$K$160,2)</f>
        <v>0</v>
      </c>
      <c r="O160" s="206"/>
      <c r="P160" s="206"/>
      <c r="Q160" s="206"/>
      <c r="R160" s="22"/>
      <c r="T160" s="127"/>
      <c r="U160" s="28" t="s">
        <v>42</v>
      </c>
      <c r="V160" s="128">
        <v>0.318</v>
      </c>
      <c r="W160" s="128">
        <f>$V$160*$K$160</f>
        <v>1.8246840000000002</v>
      </c>
      <c r="X160" s="128">
        <v>0</v>
      </c>
      <c r="Y160" s="128">
        <f>$X$160*$K$160</f>
        <v>0</v>
      </c>
      <c r="Z160" s="128">
        <v>0</v>
      </c>
      <c r="AA160" s="129">
        <f>$Z$160*$K$160</f>
        <v>0</v>
      </c>
      <c r="AR160" s="6" t="s">
        <v>168</v>
      </c>
      <c r="AT160" s="6" t="s">
        <v>164</v>
      </c>
      <c r="AU160" s="6" t="s">
        <v>174</v>
      </c>
      <c r="AY160" s="6" t="s">
        <v>163</v>
      </c>
      <c r="BE160" s="82">
        <f>IF($U$160="základní",$N$160,0)</f>
        <v>0</v>
      </c>
      <c r="BF160" s="82">
        <f>IF($U$160="snížená",$N$160,0)</f>
        <v>0</v>
      </c>
      <c r="BG160" s="82">
        <f>IF($U$160="zákl. přenesená",$N$160,0)</f>
        <v>0</v>
      </c>
      <c r="BH160" s="82">
        <f>IF($U$160="sníž. přenesená",$N$160,0)</f>
        <v>0</v>
      </c>
      <c r="BI160" s="82">
        <f>IF($U$160="nulová",$N$160,0)</f>
        <v>0</v>
      </c>
      <c r="BJ160" s="6" t="s">
        <v>141</v>
      </c>
      <c r="BK160" s="82">
        <f>ROUND($L$160*$K$160,2)</f>
        <v>0</v>
      </c>
      <c r="BL160" s="6" t="s">
        <v>168</v>
      </c>
    </row>
    <row r="161" spans="2:63" s="113" customFormat="1" ht="37.5" customHeight="1">
      <c r="B161" s="114"/>
      <c r="D161" s="115" t="s">
        <v>131</v>
      </c>
      <c r="N161" s="201">
        <f>$BK$161</f>
        <v>0</v>
      </c>
      <c r="O161" s="222"/>
      <c r="P161" s="222"/>
      <c r="Q161" s="222"/>
      <c r="R161" s="117"/>
      <c r="T161" s="118"/>
      <c r="W161" s="119">
        <f>$W$162+$W$169+$W$179</f>
        <v>187.74001600000003</v>
      </c>
      <c r="Y161" s="119">
        <f>$Y$162+$Y$169+$Y$179</f>
        <v>0.55069436</v>
      </c>
      <c r="AA161" s="120">
        <f>$AA$162+$AA$169+$AA$179</f>
        <v>0.38565839999999996</v>
      </c>
      <c r="AR161" s="116" t="s">
        <v>141</v>
      </c>
      <c r="AT161" s="116" t="s">
        <v>74</v>
      </c>
      <c r="AU161" s="116" t="s">
        <v>75</v>
      </c>
      <c r="AY161" s="116" t="s">
        <v>163</v>
      </c>
      <c r="BK161" s="121">
        <f>$BK$162+$BK$169+$BK$179</f>
        <v>0</v>
      </c>
    </row>
    <row r="162" spans="2:63" s="113" customFormat="1" ht="21" customHeight="1">
      <c r="B162" s="114"/>
      <c r="D162" s="122" t="s">
        <v>134</v>
      </c>
      <c r="N162" s="223">
        <f>$BK$162</f>
        <v>0</v>
      </c>
      <c r="O162" s="222"/>
      <c r="P162" s="222"/>
      <c r="Q162" s="222"/>
      <c r="R162" s="117"/>
      <c r="T162" s="118"/>
      <c r="W162" s="119">
        <f>SUM($W$163:$W$168)</f>
        <v>4.244000000000001</v>
      </c>
      <c r="Y162" s="119">
        <f>SUM($Y$163:$Y$168)</f>
        <v>0.11750000000000001</v>
      </c>
      <c r="AA162" s="120">
        <f>SUM($AA$163:$AA$168)</f>
        <v>0.216</v>
      </c>
      <c r="AR162" s="116" t="s">
        <v>141</v>
      </c>
      <c r="AT162" s="116" t="s">
        <v>74</v>
      </c>
      <c r="AU162" s="116" t="s">
        <v>17</v>
      </c>
      <c r="AY162" s="116" t="s">
        <v>163</v>
      </c>
      <c r="BK162" s="121">
        <f>SUM($BK$163:$BK$168)</f>
        <v>0</v>
      </c>
    </row>
    <row r="163" spans="2:64" s="6" customFormat="1" ht="15.75" customHeight="1">
      <c r="B163" s="21"/>
      <c r="C163" s="123" t="s">
        <v>226</v>
      </c>
      <c r="D163" s="123" t="s">
        <v>164</v>
      </c>
      <c r="E163" s="124" t="s">
        <v>258</v>
      </c>
      <c r="F163" s="205" t="s">
        <v>259</v>
      </c>
      <c r="G163" s="206"/>
      <c r="H163" s="206"/>
      <c r="I163" s="206"/>
      <c r="J163" s="125" t="s">
        <v>167</v>
      </c>
      <c r="K163" s="126">
        <v>7</v>
      </c>
      <c r="L163" s="207">
        <v>0</v>
      </c>
      <c r="M163" s="206"/>
      <c r="N163" s="208">
        <f>ROUND($L$163*$K$163,2)</f>
        <v>0</v>
      </c>
      <c r="O163" s="206"/>
      <c r="P163" s="206"/>
      <c r="Q163" s="206"/>
      <c r="R163" s="22"/>
      <c r="T163" s="127"/>
      <c r="U163" s="28" t="s">
        <v>42</v>
      </c>
      <c r="V163" s="128">
        <v>0.542</v>
      </c>
      <c r="W163" s="128">
        <f>$V$163*$K$163</f>
        <v>3.7940000000000005</v>
      </c>
      <c r="X163" s="128">
        <v>0</v>
      </c>
      <c r="Y163" s="128">
        <f>$X$163*$K$163</f>
        <v>0</v>
      </c>
      <c r="Z163" s="128">
        <v>0</v>
      </c>
      <c r="AA163" s="129">
        <f>$Z$163*$K$163</f>
        <v>0</v>
      </c>
      <c r="AR163" s="6" t="s">
        <v>219</v>
      </c>
      <c r="AT163" s="6" t="s">
        <v>164</v>
      </c>
      <c r="AU163" s="6" t="s">
        <v>141</v>
      </c>
      <c r="AY163" s="6" t="s">
        <v>163</v>
      </c>
      <c r="BE163" s="82">
        <f>IF($U$163="základní",$N$163,0)</f>
        <v>0</v>
      </c>
      <c r="BF163" s="82">
        <f>IF($U$163="snížená",$N$163,0)</f>
        <v>0</v>
      </c>
      <c r="BG163" s="82">
        <f>IF($U$163="zákl. přenesená",$N$163,0)</f>
        <v>0</v>
      </c>
      <c r="BH163" s="82">
        <f>IF($U$163="sníž. přenesená",$N$163,0)</f>
        <v>0</v>
      </c>
      <c r="BI163" s="82">
        <f>IF($U$163="nulová",$N$163,0)</f>
        <v>0</v>
      </c>
      <c r="BJ163" s="6" t="s">
        <v>141</v>
      </c>
      <c r="BK163" s="82">
        <f>ROUND($L$163*$K$163,2)</f>
        <v>0</v>
      </c>
      <c r="BL163" s="6" t="s">
        <v>219</v>
      </c>
    </row>
    <row r="164" spans="2:64" s="6" customFormat="1" ht="15.75" customHeight="1">
      <c r="B164" s="21"/>
      <c r="C164" s="136" t="s">
        <v>229</v>
      </c>
      <c r="D164" s="136" t="s">
        <v>190</v>
      </c>
      <c r="E164" s="137" t="s">
        <v>261</v>
      </c>
      <c r="F164" s="211" t="s">
        <v>262</v>
      </c>
      <c r="G164" s="212"/>
      <c r="H164" s="212"/>
      <c r="I164" s="212"/>
      <c r="J164" s="138" t="s">
        <v>167</v>
      </c>
      <c r="K164" s="139">
        <v>7</v>
      </c>
      <c r="L164" s="213">
        <v>0</v>
      </c>
      <c r="M164" s="212"/>
      <c r="N164" s="214">
        <f>ROUND($L$164*$K$164,2)</f>
        <v>0</v>
      </c>
      <c r="O164" s="206"/>
      <c r="P164" s="206"/>
      <c r="Q164" s="206"/>
      <c r="R164" s="22"/>
      <c r="T164" s="127"/>
      <c r="U164" s="28" t="s">
        <v>42</v>
      </c>
      <c r="V164" s="128">
        <v>0</v>
      </c>
      <c r="W164" s="128">
        <f>$V$164*$K$164</f>
        <v>0</v>
      </c>
      <c r="X164" s="128">
        <v>0.001</v>
      </c>
      <c r="Y164" s="128">
        <f>$X$164*$K$164</f>
        <v>0.007</v>
      </c>
      <c r="Z164" s="128">
        <v>0</v>
      </c>
      <c r="AA164" s="129">
        <f>$Z$164*$K$164</f>
        <v>0</v>
      </c>
      <c r="AR164" s="6" t="s">
        <v>263</v>
      </c>
      <c r="AT164" s="6" t="s">
        <v>190</v>
      </c>
      <c r="AU164" s="6" t="s">
        <v>141</v>
      </c>
      <c r="AY164" s="6" t="s">
        <v>163</v>
      </c>
      <c r="BE164" s="82">
        <f>IF($U$164="základní",$N$164,0)</f>
        <v>0</v>
      </c>
      <c r="BF164" s="82">
        <f>IF($U$164="snížená",$N$164,0)</f>
        <v>0</v>
      </c>
      <c r="BG164" s="82">
        <f>IF($U$164="zákl. přenesená",$N$164,0)</f>
        <v>0</v>
      </c>
      <c r="BH164" s="82">
        <f>IF($U$164="sníž. přenesená",$N$164,0)</f>
        <v>0</v>
      </c>
      <c r="BI164" s="82">
        <f>IF($U$164="nulová",$N$164,0)</f>
        <v>0</v>
      </c>
      <c r="BJ164" s="6" t="s">
        <v>141</v>
      </c>
      <c r="BK164" s="82">
        <f>ROUND($L$164*$K$164,2)</f>
        <v>0</v>
      </c>
      <c r="BL164" s="6" t="s">
        <v>219</v>
      </c>
    </row>
    <row r="165" spans="2:64" s="6" customFormat="1" ht="27" customHeight="1">
      <c r="B165" s="21"/>
      <c r="C165" s="123" t="s">
        <v>232</v>
      </c>
      <c r="D165" s="123" t="s">
        <v>164</v>
      </c>
      <c r="E165" s="124" t="s">
        <v>265</v>
      </c>
      <c r="F165" s="205" t="s">
        <v>266</v>
      </c>
      <c r="G165" s="206"/>
      <c r="H165" s="206"/>
      <c r="I165" s="206"/>
      <c r="J165" s="125" t="s">
        <v>167</v>
      </c>
      <c r="K165" s="126">
        <v>9</v>
      </c>
      <c r="L165" s="207">
        <v>0</v>
      </c>
      <c r="M165" s="206"/>
      <c r="N165" s="208">
        <f>ROUND($L$165*$K$165,2)</f>
        <v>0</v>
      </c>
      <c r="O165" s="206"/>
      <c r="P165" s="206"/>
      <c r="Q165" s="206"/>
      <c r="R165" s="22"/>
      <c r="T165" s="127"/>
      <c r="U165" s="28" t="s">
        <v>42</v>
      </c>
      <c r="V165" s="128">
        <v>0.05</v>
      </c>
      <c r="W165" s="128">
        <f>$V$165*$K$165</f>
        <v>0.45</v>
      </c>
      <c r="X165" s="128">
        <v>0</v>
      </c>
      <c r="Y165" s="128">
        <f>$X$165*$K$165</f>
        <v>0</v>
      </c>
      <c r="Z165" s="128">
        <v>0.024</v>
      </c>
      <c r="AA165" s="129">
        <f>$Z$165*$K$165</f>
        <v>0.216</v>
      </c>
      <c r="AR165" s="6" t="s">
        <v>219</v>
      </c>
      <c r="AT165" s="6" t="s">
        <v>164</v>
      </c>
      <c r="AU165" s="6" t="s">
        <v>141</v>
      </c>
      <c r="AY165" s="6" t="s">
        <v>163</v>
      </c>
      <c r="BE165" s="82">
        <f>IF($U$165="základní",$N$165,0)</f>
        <v>0</v>
      </c>
      <c r="BF165" s="82">
        <f>IF($U$165="snížená",$N$165,0)</f>
        <v>0</v>
      </c>
      <c r="BG165" s="82">
        <f>IF($U$165="zákl. přenesená",$N$165,0)</f>
        <v>0</v>
      </c>
      <c r="BH165" s="82">
        <f>IF($U$165="sníž. přenesená",$N$165,0)</f>
        <v>0</v>
      </c>
      <c r="BI165" s="82">
        <f>IF($U$165="nulová",$N$165,0)</f>
        <v>0</v>
      </c>
      <c r="BJ165" s="6" t="s">
        <v>141</v>
      </c>
      <c r="BK165" s="82">
        <f>ROUND($L$165*$K$165,2)</f>
        <v>0</v>
      </c>
      <c r="BL165" s="6" t="s">
        <v>219</v>
      </c>
    </row>
    <row r="166" spans="2:64" s="6" customFormat="1" ht="27" customHeight="1">
      <c r="B166" s="21"/>
      <c r="C166" s="136" t="s">
        <v>7</v>
      </c>
      <c r="D166" s="136" t="s">
        <v>190</v>
      </c>
      <c r="E166" s="137" t="s">
        <v>268</v>
      </c>
      <c r="F166" s="211" t="s">
        <v>269</v>
      </c>
      <c r="G166" s="212"/>
      <c r="H166" s="212"/>
      <c r="I166" s="212"/>
      <c r="J166" s="138" t="s">
        <v>167</v>
      </c>
      <c r="K166" s="139">
        <v>6</v>
      </c>
      <c r="L166" s="213">
        <v>0</v>
      </c>
      <c r="M166" s="212"/>
      <c r="N166" s="214">
        <f>ROUND($L$166*$K$166,2)</f>
        <v>0</v>
      </c>
      <c r="O166" s="206"/>
      <c r="P166" s="206"/>
      <c r="Q166" s="206"/>
      <c r="R166" s="22"/>
      <c r="T166" s="127"/>
      <c r="U166" s="28" t="s">
        <v>42</v>
      </c>
      <c r="V166" s="128">
        <v>0</v>
      </c>
      <c r="W166" s="128">
        <f>$V$166*$K$166</f>
        <v>0</v>
      </c>
      <c r="X166" s="128">
        <v>0.0155</v>
      </c>
      <c r="Y166" s="128">
        <f>$X$166*$K$166</f>
        <v>0.093</v>
      </c>
      <c r="Z166" s="128">
        <v>0</v>
      </c>
      <c r="AA166" s="129">
        <f>$Z$166*$K$166</f>
        <v>0</v>
      </c>
      <c r="AR166" s="6" t="s">
        <v>263</v>
      </c>
      <c r="AT166" s="6" t="s">
        <v>190</v>
      </c>
      <c r="AU166" s="6" t="s">
        <v>141</v>
      </c>
      <c r="AY166" s="6" t="s">
        <v>163</v>
      </c>
      <c r="BE166" s="82">
        <f>IF($U$166="základní",$N$166,0)</f>
        <v>0</v>
      </c>
      <c r="BF166" s="82">
        <f>IF($U$166="snížená",$N$166,0)</f>
        <v>0</v>
      </c>
      <c r="BG166" s="82">
        <f>IF($U$166="zákl. přenesená",$N$166,0)</f>
        <v>0</v>
      </c>
      <c r="BH166" s="82">
        <f>IF($U$166="sníž. přenesená",$N$166,0)</f>
        <v>0</v>
      </c>
      <c r="BI166" s="82">
        <f>IF($U$166="nulová",$N$166,0)</f>
        <v>0</v>
      </c>
      <c r="BJ166" s="6" t="s">
        <v>141</v>
      </c>
      <c r="BK166" s="82">
        <f>ROUND($L$166*$K$166,2)</f>
        <v>0</v>
      </c>
      <c r="BL166" s="6" t="s">
        <v>219</v>
      </c>
    </row>
    <row r="167" spans="2:64" s="6" customFormat="1" ht="27" customHeight="1">
      <c r="B167" s="21"/>
      <c r="C167" s="136" t="s">
        <v>237</v>
      </c>
      <c r="D167" s="136" t="s">
        <v>190</v>
      </c>
      <c r="E167" s="137" t="s">
        <v>270</v>
      </c>
      <c r="F167" s="211" t="s">
        <v>271</v>
      </c>
      <c r="G167" s="212"/>
      <c r="H167" s="212"/>
      <c r="I167" s="212"/>
      <c r="J167" s="138" t="s">
        <v>167</v>
      </c>
      <c r="K167" s="139">
        <v>1</v>
      </c>
      <c r="L167" s="213">
        <v>0</v>
      </c>
      <c r="M167" s="212"/>
      <c r="N167" s="214">
        <f>ROUND($L$167*$K$167,2)</f>
        <v>0</v>
      </c>
      <c r="O167" s="206"/>
      <c r="P167" s="206"/>
      <c r="Q167" s="206"/>
      <c r="R167" s="22"/>
      <c r="T167" s="127"/>
      <c r="U167" s="28" t="s">
        <v>42</v>
      </c>
      <c r="V167" s="128">
        <v>0</v>
      </c>
      <c r="W167" s="128">
        <f>$V$167*$K$167</f>
        <v>0</v>
      </c>
      <c r="X167" s="128">
        <v>0.0175</v>
      </c>
      <c r="Y167" s="128">
        <f>$X$167*$K$167</f>
        <v>0.0175</v>
      </c>
      <c r="Z167" s="128">
        <v>0</v>
      </c>
      <c r="AA167" s="129">
        <f>$Z$167*$K$167</f>
        <v>0</v>
      </c>
      <c r="AR167" s="6" t="s">
        <v>263</v>
      </c>
      <c r="AT167" s="6" t="s">
        <v>190</v>
      </c>
      <c r="AU167" s="6" t="s">
        <v>141</v>
      </c>
      <c r="AY167" s="6" t="s">
        <v>163</v>
      </c>
      <c r="BE167" s="82">
        <f>IF($U$167="základní",$N$167,0)</f>
        <v>0</v>
      </c>
      <c r="BF167" s="82">
        <f>IF($U$167="snížená",$N$167,0)</f>
        <v>0</v>
      </c>
      <c r="BG167" s="82">
        <f>IF($U$167="zákl. přenesená",$N$167,0)</f>
        <v>0</v>
      </c>
      <c r="BH167" s="82">
        <f>IF($U$167="sníž. přenesená",$N$167,0)</f>
        <v>0</v>
      </c>
      <c r="BI167" s="82">
        <f>IF($U$167="nulová",$N$167,0)</f>
        <v>0</v>
      </c>
      <c r="BJ167" s="6" t="s">
        <v>141</v>
      </c>
      <c r="BK167" s="82">
        <f>ROUND($L$167*$K$167,2)</f>
        <v>0</v>
      </c>
      <c r="BL167" s="6" t="s">
        <v>219</v>
      </c>
    </row>
    <row r="168" spans="2:64" s="6" customFormat="1" ht="27" customHeight="1">
      <c r="B168" s="21"/>
      <c r="C168" s="123" t="s">
        <v>241</v>
      </c>
      <c r="D168" s="123" t="s">
        <v>164</v>
      </c>
      <c r="E168" s="124" t="s">
        <v>273</v>
      </c>
      <c r="F168" s="205" t="s">
        <v>274</v>
      </c>
      <c r="G168" s="206"/>
      <c r="H168" s="206"/>
      <c r="I168" s="206"/>
      <c r="J168" s="125" t="s">
        <v>240</v>
      </c>
      <c r="K168" s="140">
        <v>0</v>
      </c>
      <c r="L168" s="207">
        <v>0</v>
      </c>
      <c r="M168" s="206"/>
      <c r="N168" s="208">
        <f>ROUND($L$168*$K$168,2)</f>
        <v>0</v>
      </c>
      <c r="O168" s="206"/>
      <c r="P168" s="206"/>
      <c r="Q168" s="206"/>
      <c r="R168" s="22"/>
      <c r="T168" s="127"/>
      <c r="U168" s="28" t="s">
        <v>42</v>
      </c>
      <c r="V168" s="128">
        <v>0</v>
      </c>
      <c r="W168" s="128">
        <f>$V$168*$K$168</f>
        <v>0</v>
      </c>
      <c r="X168" s="128">
        <v>0</v>
      </c>
      <c r="Y168" s="128">
        <f>$X$168*$K$168</f>
        <v>0</v>
      </c>
      <c r="Z168" s="128">
        <v>0</v>
      </c>
      <c r="AA168" s="129">
        <f>$Z$168*$K$168</f>
        <v>0</v>
      </c>
      <c r="AR168" s="6" t="s">
        <v>219</v>
      </c>
      <c r="AT168" s="6" t="s">
        <v>164</v>
      </c>
      <c r="AU168" s="6" t="s">
        <v>141</v>
      </c>
      <c r="AY168" s="6" t="s">
        <v>163</v>
      </c>
      <c r="BE168" s="82">
        <f>IF($U$168="základní",$N$168,0)</f>
        <v>0</v>
      </c>
      <c r="BF168" s="82">
        <f>IF($U$168="snížená",$N$168,0)</f>
        <v>0</v>
      </c>
      <c r="BG168" s="82">
        <f>IF($U$168="zákl. přenesená",$N$168,0)</f>
        <v>0</v>
      </c>
      <c r="BH168" s="82">
        <f>IF($U$168="sníž. přenesená",$N$168,0)</f>
        <v>0</v>
      </c>
      <c r="BI168" s="82">
        <f>IF($U$168="nulová",$N$168,0)</f>
        <v>0</v>
      </c>
      <c r="BJ168" s="6" t="s">
        <v>141</v>
      </c>
      <c r="BK168" s="82">
        <f>ROUND($L$168*$K$168,2)</f>
        <v>0</v>
      </c>
      <c r="BL168" s="6" t="s">
        <v>219</v>
      </c>
    </row>
    <row r="169" spans="2:63" s="113" customFormat="1" ht="30.75" customHeight="1">
      <c r="B169" s="114"/>
      <c r="D169" s="122" t="s">
        <v>135</v>
      </c>
      <c r="N169" s="223">
        <f>$BK$169</f>
        <v>0</v>
      </c>
      <c r="O169" s="222"/>
      <c r="P169" s="222"/>
      <c r="Q169" s="222"/>
      <c r="R169" s="117"/>
      <c r="T169" s="118"/>
      <c r="W169" s="119">
        <f>SUM($W$170:$W$178)</f>
        <v>35.519040000000004</v>
      </c>
      <c r="Y169" s="119">
        <f>SUM($Y$170:$Y$178)</f>
        <v>0.022027920000000003</v>
      </c>
      <c r="AA169" s="120">
        <f>SUM($AA$170:$AA$178)</f>
        <v>0</v>
      </c>
      <c r="AR169" s="116" t="s">
        <v>141</v>
      </c>
      <c r="AT169" s="116" t="s">
        <v>74</v>
      </c>
      <c r="AU169" s="116" t="s">
        <v>17</v>
      </c>
      <c r="AY169" s="116" t="s">
        <v>163</v>
      </c>
      <c r="BK169" s="121">
        <f>SUM($BK$170:$BK$178)</f>
        <v>0</v>
      </c>
    </row>
    <row r="170" spans="2:64" s="6" customFormat="1" ht="27" customHeight="1">
      <c r="B170" s="21"/>
      <c r="C170" s="123" t="s">
        <v>245</v>
      </c>
      <c r="D170" s="123" t="s">
        <v>164</v>
      </c>
      <c r="E170" s="124" t="s">
        <v>276</v>
      </c>
      <c r="F170" s="205" t="s">
        <v>277</v>
      </c>
      <c r="G170" s="206"/>
      <c r="H170" s="206"/>
      <c r="I170" s="206"/>
      <c r="J170" s="125" t="s">
        <v>171</v>
      </c>
      <c r="K170" s="126">
        <v>21.384</v>
      </c>
      <c r="L170" s="207">
        <v>0</v>
      </c>
      <c r="M170" s="206"/>
      <c r="N170" s="208">
        <f>ROUND($L$170*$K$170,2)</f>
        <v>0</v>
      </c>
      <c r="O170" s="206"/>
      <c r="P170" s="206"/>
      <c r="Q170" s="206"/>
      <c r="R170" s="22"/>
      <c r="T170" s="127"/>
      <c r="U170" s="28" t="s">
        <v>42</v>
      </c>
      <c r="V170" s="128">
        <v>0.287</v>
      </c>
      <c r="W170" s="128">
        <f>$V$170*$K$170</f>
        <v>6.137207999999999</v>
      </c>
      <c r="X170" s="128">
        <v>0.00016</v>
      </c>
      <c r="Y170" s="128">
        <f>$X$170*$K$170</f>
        <v>0.0034214400000000004</v>
      </c>
      <c r="Z170" s="128">
        <v>0</v>
      </c>
      <c r="AA170" s="129">
        <f>$Z$170*$K$170</f>
        <v>0</v>
      </c>
      <c r="AR170" s="6" t="s">
        <v>219</v>
      </c>
      <c r="AT170" s="6" t="s">
        <v>164</v>
      </c>
      <c r="AU170" s="6" t="s">
        <v>141</v>
      </c>
      <c r="AY170" s="6" t="s">
        <v>163</v>
      </c>
      <c r="BE170" s="82">
        <f>IF($U$170="základní",$N$170,0)</f>
        <v>0</v>
      </c>
      <c r="BF170" s="82">
        <f>IF($U$170="snížená",$N$170,0)</f>
        <v>0</v>
      </c>
      <c r="BG170" s="82">
        <f>IF($U$170="zákl. přenesená",$N$170,0)</f>
        <v>0</v>
      </c>
      <c r="BH170" s="82">
        <f>IF($U$170="sníž. přenesená",$N$170,0)</f>
        <v>0</v>
      </c>
      <c r="BI170" s="82">
        <f>IF($U$170="nulová",$N$170,0)</f>
        <v>0</v>
      </c>
      <c r="BJ170" s="6" t="s">
        <v>141</v>
      </c>
      <c r="BK170" s="82">
        <f>ROUND($L$170*$K$170,2)</f>
        <v>0</v>
      </c>
      <c r="BL170" s="6" t="s">
        <v>219</v>
      </c>
    </row>
    <row r="171" spans="2:51" s="6" customFormat="1" ht="27" customHeight="1">
      <c r="B171" s="130"/>
      <c r="E171" s="131"/>
      <c r="F171" s="209" t="s">
        <v>331</v>
      </c>
      <c r="G171" s="210"/>
      <c r="H171" s="210"/>
      <c r="I171" s="210"/>
      <c r="K171" s="132">
        <v>21.384</v>
      </c>
      <c r="R171" s="133"/>
      <c r="T171" s="134"/>
      <c r="AA171" s="135"/>
      <c r="AT171" s="131" t="s">
        <v>173</v>
      </c>
      <c r="AU171" s="131" t="s">
        <v>141</v>
      </c>
      <c r="AV171" s="131" t="s">
        <v>141</v>
      </c>
      <c r="AW171" s="131" t="s">
        <v>125</v>
      </c>
      <c r="AX171" s="131" t="s">
        <v>17</v>
      </c>
      <c r="AY171" s="131" t="s">
        <v>163</v>
      </c>
    </row>
    <row r="172" spans="2:64" s="6" customFormat="1" ht="39" customHeight="1">
      <c r="B172" s="21"/>
      <c r="C172" s="123" t="s">
        <v>248</v>
      </c>
      <c r="D172" s="123" t="s">
        <v>164</v>
      </c>
      <c r="E172" s="124" t="s">
        <v>280</v>
      </c>
      <c r="F172" s="205" t="s">
        <v>281</v>
      </c>
      <c r="G172" s="206"/>
      <c r="H172" s="206"/>
      <c r="I172" s="206"/>
      <c r="J172" s="125" t="s">
        <v>171</v>
      </c>
      <c r="K172" s="126">
        <v>47.88</v>
      </c>
      <c r="L172" s="207">
        <v>0</v>
      </c>
      <c r="M172" s="206"/>
      <c r="N172" s="208">
        <f>ROUND($L$172*$K$172,2)</f>
        <v>0</v>
      </c>
      <c r="O172" s="206"/>
      <c r="P172" s="206"/>
      <c r="Q172" s="206"/>
      <c r="R172" s="22"/>
      <c r="T172" s="127"/>
      <c r="U172" s="28" t="s">
        <v>42</v>
      </c>
      <c r="V172" s="128">
        <v>0.506</v>
      </c>
      <c r="W172" s="128">
        <f>$V$172*$K$172</f>
        <v>24.22728</v>
      </c>
      <c r="X172" s="128">
        <v>0.00032</v>
      </c>
      <c r="Y172" s="128">
        <f>$X$172*$K$172</f>
        <v>0.015321600000000003</v>
      </c>
      <c r="Z172" s="128">
        <v>0</v>
      </c>
      <c r="AA172" s="129">
        <f>$Z$172*$K$172</f>
        <v>0</v>
      </c>
      <c r="AR172" s="6" t="s">
        <v>219</v>
      </c>
      <c r="AT172" s="6" t="s">
        <v>164</v>
      </c>
      <c r="AU172" s="6" t="s">
        <v>141</v>
      </c>
      <c r="AY172" s="6" t="s">
        <v>163</v>
      </c>
      <c r="BE172" s="82">
        <f>IF($U$172="základní",$N$172,0)</f>
        <v>0</v>
      </c>
      <c r="BF172" s="82">
        <f>IF($U$172="snížená",$N$172,0)</f>
        <v>0</v>
      </c>
      <c r="BG172" s="82">
        <f>IF($U$172="zákl. přenesená",$N$172,0)</f>
        <v>0</v>
      </c>
      <c r="BH172" s="82">
        <f>IF($U$172="sníž. přenesená",$N$172,0)</f>
        <v>0</v>
      </c>
      <c r="BI172" s="82">
        <f>IF($U$172="nulová",$N$172,0)</f>
        <v>0</v>
      </c>
      <c r="BJ172" s="6" t="s">
        <v>141</v>
      </c>
      <c r="BK172" s="82">
        <f>ROUND($L$172*$K$172,2)</f>
        <v>0</v>
      </c>
      <c r="BL172" s="6" t="s">
        <v>219</v>
      </c>
    </row>
    <row r="173" spans="2:51" s="6" customFormat="1" ht="15.75" customHeight="1">
      <c r="B173" s="130"/>
      <c r="E173" s="131"/>
      <c r="F173" s="209" t="s">
        <v>332</v>
      </c>
      <c r="G173" s="210"/>
      <c r="H173" s="210"/>
      <c r="I173" s="210"/>
      <c r="K173" s="132">
        <v>47.88</v>
      </c>
      <c r="R173" s="133"/>
      <c r="T173" s="134"/>
      <c r="AA173" s="135"/>
      <c r="AT173" s="131" t="s">
        <v>173</v>
      </c>
      <c r="AU173" s="131" t="s">
        <v>141</v>
      </c>
      <c r="AV173" s="131" t="s">
        <v>141</v>
      </c>
      <c r="AW173" s="131" t="s">
        <v>125</v>
      </c>
      <c r="AX173" s="131" t="s">
        <v>17</v>
      </c>
      <c r="AY173" s="131" t="s">
        <v>163</v>
      </c>
    </row>
    <row r="174" spans="2:64" s="6" customFormat="1" ht="15.75" customHeight="1">
      <c r="B174" s="21"/>
      <c r="C174" s="123" t="s">
        <v>251</v>
      </c>
      <c r="D174" s="123" t="s">
        <v>164</v>
      </c>
      <c r="E174" s="124" t="s">
        <v>283</v>
      </c>
      <c r="F174" s="205" t="s">
        <v>284</v>
      </c>
      <c r="G174" s="206"/>
      <c r="H174" s="206"/>
      <c r="I174" s="206"/>
      <c r="J174" s="125" t="s">
        <v>171</v>
      </c>
      <c r="K174" s="126">
        <v>14.848</v>
      </c>
      <c r="L174" s="207">
        <v>0</v>
      </c>
      <c r="M174" s="206"/>
      <c r="N174" s="208">
        <f>ROUND($L$174*$K$174,2)</f>
        <v>0</v>
      </c>
      <c r="O174" s="206"/>
      <c r="P174" s="206"/>
      <c r="Q174" s="206"/>
      <c r="R174" s="22"/>
      <c r="T174" s="127"/>
      <c r="U174" s="28" t="s">
        <v>42</v>
      </c>
      <c r="V174" s="128">
        <v>0.144</v>
      </c>
      <c r="W174" s="128">
        <f>$V$174*$K$174</f>
        <v>2.138112</v>
      </c>
      <c r="X174" s="128">
        <v>6E-05</v>
      </c>
      <c r="Y174" s="128">
        <f>$X$174*$K$174</f>
        <v>0.00089088</v>
      </c>
      <c r="Z174" s="128">
        <v>0</v>
      </c>
      <c r="AA174" s="129">
        <f>$Z$174*$K$174</f>
        <v>0</v>
      </c>
      <c r="AR174" s="6" t="s">
        <v>219</v>
      </c>
      <c r="AT174" s="6" t="s">
        <v>164</v>
      </c>
      <c r="AU174" s="6" t="s">
        <v>141</v>
      </c>
      <c r="AY174" s="6" t="s">
        <v>163</v>
      </c>
      <c r="BE174" s="82">
        <f>IF($U$174="základní",$N$174,0)</f>
        <v>0</v>
      </c>
      <c r="BF174" s="82">
        <f>IF($U$174="snížená",$N$174,0)</f>
        <v>0</v>
      </c>
      <c r="BG174" s="82">
        <f>IF($U$174="zákl. přenesená",$N$174,0)</f>
        <v>0</v>
      </c>
      <c r="BH174" s="82">
        <f>IF($U$174="sníž. přenesená",$N$174,0)</f>
        <v>0</v>
      </c>
      <c r="BI174" s="82">
        <f>IF($U$174="nulová",$N$174,0)</f>
        <v>0</v>
      </c>
      <c r="BJ174" s="6" t="s">
        <v>141</v>
      </c>
      <c r="BK174" s="82">
        <f>ROUND($L$174*$K$174,2)</f>
        <v>0</v>
      </c>
      <c r="BL174" s="6" t="s">
        <v>219</v>
      </c>
    </row>
    <row r="175" spans="2:51" s="6" customFormat="1" ht="15.75" customHeight="1">
      <c r="B175" s="130"/>
      <c r="E175" s="131"/>
      <c r="F175" s="209" t="s">
        <v>285</v>
      </c>
      <c r="G175" s="210"/>
      <c r="H175" s="210"/>
      <c r="I175" s="210"/>
      <c r="K175" s="132">
        <v>14.848</v>
      </c>
      <c r="R175" s="133"/>
      <c r="T175" s="134"/>
      <c r="AA175" s="135"/>
      <c r="AT175" s="131" t="s">
        <v>173</v>
      </c>
      <c r="AU175" s="131" t="s">
        <v>141</v>
      </c>
      <c r="AV175" s="131" t="s">
        <v>141</v>
      </c>
      <c r="AW175" s="131" t="s">
        <v>125</v>
      </c>
      <c r="AX175" s="131" t="s">
        <v>75</v>
      </c>
      <c r="AY175" s="131" t="s">
        <v>163</v>
      </c>
    </row>
    <row r="176" spans="2:51" s="6" customFormat="1" ht="15.75" customHeight="1">
      <c r="B176" s="141"/>
      <c r="E176" s="142"/>
      <c r="F176" s="215" t="s">
        <v>286</v>
      </c>
      <c r="G176" s="216"/>
      <c r="H176" s="216"/>
      <c r="I176" s="216"/>
      <c r="K176" s="143">
        <v>14.848</v>
      </c>
      <c r="R176" s="144"/>
      <c r="T176" s="145"/>
      <c r="AA176" s="146"/>
      <c r="AT176" s="142" t="s">
        <v>173</v>
      </c>
      <c r="AU176" s="142" t="s">
        <v>141</v>
      </c>
      <c r="AV176" s="142" t="s">
        <v>168</v>
      </c>
      <c r="AW176" s="142" t="s">
        <v>125</v>
      </c>
      <c r="AX176" s="142" t="s">
        <v>17</v>
      </c>
      <c r="AY176" s="142" t="s">
        <v>163</v>
      </c>
    </row>
    <row r="177" spans="2:64" s="6" customFormat="1" ht="15.75" customHeight="1">
      <c r="B177" s="21"/>
      <c r="C177" s="123" t="s">
        <v>254</v>
      </c>
      <c r="D177" s="123" t="s">
        <v>164</v>
      </c>
      <c r="E177" s="124" t="s">
        <v>288</v>
      </c>
      <c r="F177" s="205" t="s">
        <v>289</v>
      </c>
      <c r="G177" s="206"/>
      <c r="H177" s="206"/>
      <c r="I177" s="206"/>
      <c r="J177" s="125" t="s">
        <v>171</v>
      </c>
      <c r="K177" s="126">
        <v>47.88</v>
      </c>
      <c r="L177" s="207">
        <v>0</v>
      </c>
      <c r="M177" s="206"/>
      <c r="N177" s="208">
        <f>ROUND($L$177*$K$177,2)</f>
        <v>0</v>
      </c>
      <c r="O177" s="206"/>
      <c r="P177" s="206"/>
      <c r="Q177" s="206"/>
      <c r="R177" s="22"/>
      <c r="T177" s="127"/>
      <c r="U177" s="28" t="s">
        <v>42</v>
      </c>
      <c r="V177" s="128">
        <v>0.063</v>
      </c>
      <c r="W177" s="128">
        <f>$V$177*$K$177</f>
        <v>3.0164400000000002</v>
      </c>
      <c r="X177" s="128">
        <v>5E-05</v>
      </c>
      <c r="Y177" s="128">
        <f>$X$177*$K$177</f>
        <v>0.0023940000000000003</v>
      </c>
      <c r="Z177" s="128">
        <v>0</v>
      </c>
      <c r="AA177" s="129">
        <f>$Z$177*$K$177</f>
        <v>0</v>
      </c>
      <c r="AR177" s="6" t="s">
        <v>219</v>
      </c>
      <c r="AT177" s="6" t="s">
        <v>164</v>
      </c>
      <c r="AU177" s="6" t="s">
        <v>141</v>
      </c>
      <c r="AY177" s="6" t="s">
        <v>163</v>
      </c>
      <c r="BE177" s="82">
        <f>IF($U$177="základní",$N$177,0)</f>
        <v>0</v>
      </c>
      <c r="BF177" s="82">
        <f>IF($U$177="snížená",$N$177,0)</f>
        <v>0</v>
      </c>
      <c r="BG177" s="82">
        <f>IF($U$177="zákl. přenesená",$N$177,0)</f>
        <v>0</v>
      </c>
      <c r="BH177" s="82">
        <f>IF($U$177="sníž. přenesená",$N$177,0)</f>
        <v>0</v>
      </c>
      <c r="BI177" s="82">
        <f>IF($U$177="nulová",$N$177,0)</f>
        <v>0</v>
      </c>
      <c r="BJ177" s="6" t="s">
        <v>141</v>
      </c>
      <c r="BK177" s="82">
        <f>ROUND($L$177*$K$177,2)</f>
        <v>0</v>
      </c>
      <c r="BL177" s="6" t="s">
        <v>219</v>
      </c>
    </row>
    <row r="178" spans="2:51" s="6" customFormat="1" ht="15.75" customHeight="1">
      <c r="B178" s="130"/>
      <c r="E178" s="131"/>
      <c r="F178" s="209" t="s">
        <v>290</v>
      </c>
      <c r="G178" s="210"/>
      <c r="H178" s="210"/>
      <c r="I178" s="210"/>
      <c r="K178" s="132">
        <v>47.88</v>
      </c>
      <c r="R178" s="133"/>
      <c r="T178" s="134"/>
      <c r="AA178" s="135"/>
      <c r="AT178" s="131" t="s">
        <v>173</v>
      </c>
      <c r="AU178" s="131" t="s">
        <v>141</v>
      </c>
      <c r="AV178" s="131" t="s">
        <v>141</v>
      </c>
      <c r="AW178" s="131" t="s">
        <v>125</v>
      </c>
      <c r="AX178" s="131" t="s">
        <v>17</v>
      </c>
      <c r="AY178" s="131" t="s">
        <v>163</v>
      </c>
    </row>
    <row r="179" spans="2:63" s="113" customFormat="1" ht="30.75" customHeight="1">
      <c r="B179" s="114"/>
      <c r="D179" s="122" t="s">
        <v>136</v>
      </c>
      <c r="N179" s="223">
        <f>$BK$179</f>
        <v>0</v>
      </c>
      <c r="O179" s="222"/>
      <c r="P179" s="222"/>
      <c r="Q179" s="222"/>
      <c r="R179" s="117"/>
      <c r="T179" s="118"/>
      <c r="W179" s="119">
        <f>SUM($W$180:$W$195)</f>
        <v>147.976976</v>
      </c>
      <c r="Y179" s="119">
        <f>SUM($Y$180:$Y$195)</f>
        <v>0.41116644</v>
      </c>
      <c r="AA179" s="120">
        <f>SUM($AA$180:$AA$195)</f>
        <v>0.1696584</v>
      </c>
      <c r="AR179" s="116" t="s">
        <v>141</v>
      </c>
      <c r="AT179" s="116" t="s">
        <v>74</v>
      </c>
      <c r="AU179" s="116" t="s">
        <v>17</v>
      </c>
      <c r="AY179" s="116" t="s">
        <v>163</v>
      </c>
      <c r="BK179" s="121">
        <f>SUM($BK$180:$BK$195)</f>
        <v>0</v>
      </c>
    </row>
    <row r="180" spans="2:64" s="6" customFormat="1" ht="27" customHeight="1">
      <c r="B180" s="21"/>
      <c r="C180" s="123" t="s">
        <v>257</v>
      </c>
      <c r="D180" s="123" t="s">
        <v>164</v>
      </c>
      <c r="E180" s="124" t="s">
        <v>292</v>
      </c>
      <c r="F180" s="205" t="s">
        <v>293</v>
      </c>
      <c r="G180" s="206"/>
      <c r="H180" s="206"/>
      <c r="I180" s="206"/>
      <c r="J180" s="125" t="s">
        <v>171</v>
      </c>
      <c r="K180" s="126">
        <v>1131.056</v>
      </c>
      <c r="L180" s="207">
        <v>0</v>
      </c>
      <c r="M180" s="206"/>
      <c r="N180" s="208">
        <f>ROUND($L$180*$K$180,2)</f>
        <v>0</v>
      </c>
      <c r="O180" s="206"/>
      <c r="P180" s="206"/>
      <c r="Q180" s="206"/>
      <c r="R180" s="22"/>
      <c r="T180" s="127"/>
      <c r="U180" s="28" t="s">
        <v>42</v>
      </c>
      <c r="V180" s="128">
        <v>0.035</v>
      </c>
      <c r="W180" s="128">
        <f>$V$180*$K$180</f>
        <v>39.586960000000005</v>
      </c>
      <c r="X180" s="128">
        <v>0</v>
      </c>
      <c r="Y180" s="128">
        <f>$X$180*$K$180</f>
        <v>0</v>
      </c>
      <c r="Z180" s="128">
        <v>0.00015</v>
      </c>
      <c r="AA180" s="129">
        <f>$Z$180*$K$180</f>
        <v>0.1696584</v>
      </c>
      <c r="AR180" s="6" t="s">
        <v>219</v>
      </c>
      <c r="AT180" s="6" t="s">
        <v>164</v>
      </c>
      <c r="AU180" s="6" t="s">
        <v>141</v>
      </c>
      <c r="AY180" s="6" t="s">
        <v>163</v>
      </c>
      <c r="BE180" s="82">
        <f>IF($U$180="základní",$N$180,0)</f>
        <v>0</v>
      </c>
      <c r="BF180" s="82">
        <f>IF($U$180="snížená",$N$180,0)</f>
        <v>0</v>
      </c>
      <c r="BG180" s="82">
        <f>IF($U$180="zákl. přenesená",$N$180,0)</f>
        <v>0</v>
      </c>
      <c r="BH180" s="82">
        <f>IF($U$180="sníž. přenesená",$N$180,0)</f>
        <v>0</v>
      </c>
      <c r="BI180" s="82">
        <f>IF($U$180="nulová",$N$180,0)</f>
        <v>0</v>
      </c>
      <c r="BJ180" s="6" t="s">
        <v>141</v>
      </c>
      <c r="BK180" s="82">
        <f>ROUND($L$180*$K$180,2)</f>
        <v>0</v>
      </c>
      <c r="BL180" s="6" t="s">
        <v>219</v>
      </c>
    </row>
    <row r="181" spans="2:51" s="6" customFormat="1" ht="15.75" customHeight="1">
      <c r="B181" s="130"/>
      <c r="E181" s="131"/>
      <c r="F181" s="209" t="s">
        <v>333</v>
      </c>
      <c r="G181" s="210"/>
      <c r="H181" s="210"/>
      <c r="I181" s="210"/>
      <c r="K181" s="132">
        <v>246.936</v>
      </c>
      <c r="R181" s="133"/>
      <c r="T181" s="134"/>
      <c r="AA181" s="135"/>
      <c r="AT181" s="131" t="s">
        <v>173</v>
      </c>
      <c r="AU181" s="131" t="s">
        <v>141</v>
      </c>
      <c r="AV181" s="131" t="s">
        <v>141</v>
      </c>
      <c r="AW181" s="131" t="s">
        <v>125</v>
      </c>
      <c r="AX181" s="131" t="s">
        <v>75</v>
      </c>
      <c r="AY181" s="131" t="s">
        <v>163</v>
      </c>
    </row>
    <row r="182" spans="2:51" s="6" customFormat="1" ht="15.75" customHeight="1">
      <c r="B182" s="147"/>
      <c r="E182" s="148"/>
      <c r="F182" s="217" t="s">
        <v>334</v>
      </c>
      <c r="G182" s="218"/>
      <c r="H182" s="218"/>
      <c r="I182" s="218"/>
      <c r="K182" s="149">
        <v>246.936</v>
      </c>
      <c r="R182" s="150"/>
      <c r="T182" s="151"/>
      <c r="AA182" s="152"/>
      <c r="AT182" s="148" t="s">
        <v>173</v>
      </c>
      <c r="AU182" s="148" t="s">
        <v>141</v>
      </c>
      <c r="AV182" s="148" t="s">
        <v>174</v>
      </c>
      <c r="AW182" s="148" t="s">
        <v>125</v>
      </c>
      <c r="AX182" s="148" t="s">
        <v>75</v>
      </c>
      <c r="AY182" s="148" t="s">
        <v>163</v>
      </c>
    </row>
    <row r="183" spans="2:51" s="6" customFormat="1" ht="27" customHeight="1">
      <c r="B183" s="130"/>
      <c r="E183" s="131"/>
      <c r="F183" s="209" t="s">
        <v>335</v>
      </c>
      <c r="G183" s="210"/>
      <c r="H183" s="210"/>
      <c r="I183" s="210"/>
      <c r="K183" s="132">
        <v>657.44</v>
      </c>
      <c r="R183" s="133"/>
      <c r="T183" s="134"/>
      <c r="AA183" s="135"/>
      <c r="AT183" s="131" t="s">
        <v>173</v>
      </c>
      <c r="AU183" s="131" t="s">
        <v>141</v>
      </c>
      <c r="AV183" s="131" t="s">
        <v>141</v>
      </c>
      <c r="AW183" s="131" t="s">
        <v>125</v>
      </c>
      <c r="AX183" s="131" t="s">
        <v>75</v>
      </c>
      <c r="AY183" s="131" t="s">
        <v>163</v>
      </c>
    </row>
    <row r="184" spans="2:51" s="6" customFormat="1" ht="27" customHeight="1">
      <c r="B184" s="130"/>
      <c r="E184" s="131"/>
      <c r="F184" s="209" t="s">
        <v>336</v>
      </c>
      <c r="G184" s="210"/>
      <c r="H184" s="210"/>
      <c r="I184" s="210"/>
      <c r="K184" s="132">
        <v>226.68</v>
      </c>
      <c r="R184" s="133"/>
      <c r="T184" s="134"/>
      <c r="AA184" s="135"/>
      <c r="AT184" s="131" t="s">
        <v>173</v>
      </c>
      <c r="AU184" s="131" t="s">
        <v>141</v>
      </c>
      <c r="AV184" s="131" t="s">
        <v>141</v>
      </c>
      <c r="AW184" s="131" t="s">
        <v>125</v>
      </c>
      <c r="AX184" s="131" t="s">
        <v>75</v>
      </c>
      <c r="AY184" s="131" t="s">
        <v>163</v>
      </c>
    </row>
    <row r="185" spans="2:51" s="6" customFormat="1" ht="15.75" customHeight="1">
      <c r="B185" s="147"/>
      <c r="E185" s="148"/>
      <c r="F185" s="217" t="s">
        <v>296</v>
      </c>
      <c r="G185" s="218"/>
      <c r="H185" s="218"/>
      <c r="I185" s="218"/>
      <c r="K185" s="149">
        <v>884.12</v>
      </c>
      <c r="R185" s="150"/>
      <c r="T185" s="151"/>
      <c r="AA185" s="152"/>
      <c r="AT185" s="148" t="s">
        <v>173</v>
      </c>
      <c r="AU185" s="148" t="s">
        <v>141</v>
      </c>
      <c r="AV185" s="148" t="s">
        <v>174</v>
      </c>
      <c r="AW185" s="148" t="s">
        <v>125</v>
      </c>
      <c r="AX185" s="148" t="s">
        <v>75</v>
      </c>
      <c r="AY185" s="148" t="s">
        <v>163</v>
      </c>
    </row>
    <row r="186" spans="2:51" s="6" customFormat="1" ht="15.75" customHeight="1">
      <c r="B186" s="141"/>
      <c r="E186" s="142"/>
      <c r="F186" s="215" t="s">
        <v>286</v>
      </c>
      <c r="G186" s="216"/>
      <c r="H186" s="216"/>
      <c r="I186" s="216"/>
      <c r="K186" s="143">
        <v>1131.056</v>
      </c>
      <c r="R186" s="144"/>
      <c r="T186" s="145"/>
      <c r="AA186" s="146"/>
      <c r="AT186" s="142" t="s">
        <v>173</v>
      </c>
      <c r="AU186" s="142" t="s">
        <v>141</v>
      </c>
      <c r="AV186" s="142" t="s">
        <v>168</v>
      </c>
      <c r="AW186" s="142" t="s">
        <v>125</v>
      </c>
      <c r="AX186" s="142" t="s">
        <v>17</v>
      </c>
      <c r="AY186" s="142" t="s">
        <v>163</v>
      </c>
    </row>
    <row r="187" spans="2:64" s="6" customFormat="1" ht="27" customHeight="1">
      <c r="B187" s="21"/>
      <c r="C187" s="123" t="s">
        <v>260</v>
      </c>
      <c r="D187" s="123" t="s">
        <v>164</v>
      </c>
      <c r="E187" s="124" t="s">
        <v>299</v>
      </c>
      <c r="F187" s="205" t="s">
        <v>337</v>
      </c>
      <c r="G187" s="206"/>
      <c r="H187" s="206"/>
      <c r="I187" s="206"/>
      <c r="J187" s="125" t="s">
        <v>171</v>
      </c>
      <c r="K187" s="126">
        <v>40.4</v>
      </c>
      <c r="L187" s="207">
        <v>0</v>
      </c>
      <c r="M187" s="206"/>
      <c r="N187" s="208">
        <f>ROUND($L$187*$K$187,2)</f>
        <v>0</v>
      </c>
      <c r="O187" s="206"/>
      <c r="P187" s="206"/>
      <c r="Q187" s="206"/>
      <c r="R187" s="22"/>
      <c r="T187" s="127"/>
      <c r="U187" s="28" t="s">
        <v>42</v>
      </c>
      <c r="V187" s="128">
        <v>0.016</v>
      </c>
      <c r="W187" s="128">
        <f>$V$187*$K$187</f>
        <v>0.6464</v>
      </c>
      <c r="X187" s="128">
        <v>0</v>
      </c>
      <c r="Y187" s="128">
        <f>$X$187*$K$187</f>
        <v>0</v>
      </c>
      <c r="Z187" s="128">
        <v>0</v>
      </c>
      <c r="AA187" s="129">
        <f>$Z$187*$K$187</f>
        <v>0</v>
      </c>
      <c r="AR187" s="6" t="s">
        <v>219</v>
      </c>
      <c r="AT187" s="6" t="s">
        <v>164</v>
      </c>
      <c r="AU187" s="6" t="s">
        <v>141</v>
      </c>
      <c r="AY187" s="6" t="s">
        <v>163</v>
      </c>
      <c r="BE187" s="82">
        <f>IF($U$187="základní",$N$187,0)</f>
        <v>0</v>
      </c>
      <c r="BF187" s="82">
        <f>IF($U$187="snížená",$N$187,0)</f>
        <v>0</v>
      </c>
      <c r="BG187" s="82">
        <f>IF($U$187="zákl. přenesená",$N$187,0)</f>
        <v>0</v>
      </c>
      <c r="BH187" s="82">
        <f>IF($U$187="sníž. přenesená",$N$187,0)</f>
        <v>0</v>
      </c>
      <c r="BI187" s="82">
        <f>IF($U$187="nulová",$N$187,0)</f>
        <v>0</v>
      </c>
      <c r="BJ187" s="6" t="s">
        <v>141</v>
      </c>
      <c r="BK187" s="82">
        <f>ROUND($L$187*$K$187,2)</f>
        <v>0</v>
      </c>
      <c r="BL187" s="6" t="s">
        <v>219</v>
      </c>
    </row>
    <row r="188" spans="2:51" s="6" customFormat="1" ht="15.75" customHeight="1">
      <c r="B188" s="130"/>
      <c r="E188" s="131"/>
      <c r="F188" s="209" t="s">
        <v>338</v>
      </c>
      <c r="G188" s="210"/>
      <c r="H188" s="210"/>
      <c r="I188" s="210"/>
      <c r="K188" s="132">
        <v>32.6</v>
      </c>
      <c r="R188" s="133"/>
      <c r="T188" s="134"/>
      <c r="AA188" s="135"/>
      <c r="AT188" s="131" t="s">
        <v>173</v>
      </c>
      <c r="AU188" s="131" t="s">
        <v>141</v>
      </c>
      <c r="AV188" s="131" t="s">
        <v>141</v>
      </c>
      <c r="AW188" s="131" t="s">
        <v>125</v>
      </c>
      <c r="AX188" s="131" t="s">
        <v>75</v>
      </c>
      <c r="AY188" s="131" t="s">
        <v>163</v>
      </c>
    </row>
    <row r="189" spans="2:51" s="6" customFormat="1" ht="15.75" customHeight="1">
      <c r="B189" s="130"/>
      <c r="E189" s="131"/>
      <c r="F189" s="209" t="s">
        <v>339</v>
      </c>
      <c r="G189" s="210"/>
      <c r="H189" s="210"/>
      <c r="I189" s="210"/>
      <c r="K189" s="132">
        <v>7.8</v>
      </c>
      <c r="R189" s="133"/>
      <c r="T189" s="134"/>
      <c r="AA189" s="135"/>
      <c r="AT189" s="131" t="s">
        <v>173</v>
      </c>
      <c r="AU189" s="131" t="s">
        <v>141</v>
      </c>
      <c r="AV189" s="131" t="s">
        <v>141</v>
      </c>
      <c r="AW189" s="131" t="s">
        <v>125</v>
      </c>
      <c r="AX189" s="131" t="s">
        <v>75</v>
      </c>
      <c r="AY189" s="131" t="s">
        <v>163</v>
      </c>
    </row>
    <row r="190" spans="2:51" s="6" customFormat="1" ht="15.75" customHeight="1">
      <c r="B190" s="141"/>
      <c r="E190" s="142"/>
      <c r="F190" s="215" t="s">
        <v>286</v>
      </c>
      <c r="G190" s="216"/>
      <c r="H190" s="216"/>
      <c r="I190" s="216"/>
      <c r="K190" s="143">
        <v>40.4</v>
      </c>
      <c r="R190" s="144"/>
      <c r="T190" s="145"/>
      <c r="AA190" s="146"/>
      <c r="AT190" s="142" t="s">
        <v>173</v>
      </c>
      <c r="AU190" s="142" t="s">
        <v>141</v>
      </c>
      <c r="AV190" s="142" t="s">
        <v>168</v>
      </c>
      <c r="AW190" s="142" t="s">
        <v>125</v>
      </c>
      <c r="AX190" s="142" t="s">
        <v>17</v>
      </c>
      <c r="AY190" s="142" t="s">
        <v>163</v>
      </c>
    </row>
    <row r="191" spans="2:64" s="6" customFormat="1" ht="27" customHeight="1">
      <c r="B191" s="21"/>
      <c r="C191" s="136" t="s">
        <v>264</v>
      </c>
      <c r="D191" s="136" t="s">
        <v>190</v>
      </c>
      <c r="E191" s="137" t="s">
        <v>302</v>
      </c>
      <c r="F191" s="211" t="s">
        <v>303</v>
      </c>
      <c r="G191" s="212"/>
      <c r="H191" s="212"/>
      <c r="I191" s="212"/>
      <c r="J191" s="138" t="s">
        <v>171</v>
      </c>
      <c r="K191" s="139">
        <v>42.42</v>
      </c>
      <c r="L191" s="213">
        <v>0</v>
      </c>
      <c r="M191" s="212"/>
      <c r="N191" s="214">
        <f>ROUND($L$191*$K$191,2)</f>
        <v>0</v>
      </c>
      <c r="O191" s="206"/>
      <c r="P191" s="206"/>
      <c r="Q191" s="206"/>
      <c r="R191" s="22"/>
      <c r="T191" s="127"/>
      <c r="U191" s="28" t="s">
        <v>42</v>
      </c>
      <c r="V191" s="128">
        <v>0</v>
      </c>
      <c r="W191" s="128">
        <f>$V$191*$K$191</f>
        <v>0</v>
      </c>
      <c r="X191" s="128">
        <v>0</v>
      </c>
      <c r="Y191" s="128">
        <f>$X$191*$K$191</f>
        <v>0</v>
      </c>
      <c r="Z191" s="128">
        <v>0</v>
      </c>
      <c r="AA191" s="129">
        <f>$Z$191*$K$191</f>
        <v>0</v>
      </c>
      <c r="AR191" s="6" t="s">
        <v>263</v>
      </c>
      <c r="AT191" s="6" t="s">
        <v>190</v>
      </c>
      <c r="AU191" s="6" t="s">
        <v>141</v>
      </c>
      <c r="AY191" s="6" t="s">
        <v>163</v>
      </c>
      <c r="BE191" s="82">
        <f>IF($U$191="základní",$N$191,0)</f>
        <v>0</v>
      </c>
      <c r="BF191" s="82">
        <f>IF($U$191="snížená",$N$191,0)</f>
        <v>0</v>
      </c>
      <c r="BG191" s="82">
        <f>IF($U$191="zákl. přenesená",$N$191,0)</f>
        <v>0</v>
      </c>
      <c r="BH191" s="82">
        <f>IF($U$191="sníž. přenesená",$N$191,0)</f>
        <v>0</v>
      </c>
      <c r="BI191" s="82">
        <f>IF($U$191="nulová",$N$191,0)</f>
        <v>0</v>
      </c>
      <c r="BJ191" s="6" t="s">
        <v>141</v>
      </c>
      <c r="BK191" s="82">
        <f>ROUND($L$191*$K$191,2)</f>
        <v>0</v>
      </c>
      <c r="BL191" s="6" t="s">
        <v>219</v>
      </c>
    </row>
    <row r="192" spans="2:64" s="6" customFormat="1" ht="27" customHeight="1">
      <c r="B192" s="21"/>
      <c r="C192" s="123" t="s">
        <v>267</v>
      </c>
      <c r="D192" s="123" t="s">
        <v>164</v>
      </c>
      <c r="E192" s="124" t="s">
        <v>305</v>
      </c>
      <c r="F192" s="205" t="s">
        <v>306</v>
      </c>
      <c r="G192" s="206"/>
      <c r="H192" s="206"/>
      <c r="I192" s="206"/>
      <c r="J192" s="125" t="s">
        <v>171</v>
      </c>
      <c r="K192" s="126">
        <v>1238.476</v>
      </c>
      <c r="L192" s="207">
        <v>0</v>
      </c>
      <c r="M192" s="206"/>
      <c r="N192" s="208">
        <f>ROUND($L$192*$K$192,2)</f>
        <v>0</v>
      </c>
      <c r="O192" s="206"/>
      <c r="P192" s="206"/>
      <c r="Q192" s="206"/>
      <c r="R192" s="22"/>
      <c r="T192" s="127"/>
      <c r="U192" s="28" t="s">
        <v>42</v>
      </c>
      <c r="V192" s="128">
        <v>0.033</v>
      </c>
      <c r="W192" s="128">
        <f>$V$192*$K$192</f>
        <v>40.869708</v>
      </c>
      <c r="X192" s="128">
        <v>0.0002</v>
      </c>
      <c r="Y192" s="128">
        <f>$X$192*$K$192</f>
        <v>0.24769520000000003</v>
      </c>
      <c r="Z192" s="128">
        <v>0</v>
      </c>
      <c r="AA192" s="129">
        <f>$Z$192*$K$192</f>
        <v>0</v>
      </c>
      <c r="AR192" s="6" t="s">
        <v>219</v>
      </c>
      <c r="AT192" s="6" t="s">
        <v>164</v>
      </c>
      <c r="AU192" s="6" t="s">
        <v>141</v>
      </c>
      <c r="AY192" s="6" t="s">
        <v>163</v>
      </c>
      <c r="BE192" s="82">
        <f>IF($U$192="základní",$N$192,0)</f>
        <v>0</v>
      </c>
      <c r="BF192" s="82">
        <f>IF($U$192="snížená",$N$192,0)</f>
        <v>0</v>
      </c>
      <c r="BG192" s="82">
        <f>IF($U$192="zákl. přenesená",$N$192,0)</f>
        <v>0</v>
      </c>
      <c r="BH192" s="82">
        <f>IF($U$192="sníž. přenesená",$N$192,0)</f>
        <v>0</v>
      </c>
      <c r="BI192" s="82">
        <f>IF($U$192="nulová",$N$192,0)</f>
        <v>0</v>
      </c>
      <c r="BJ192" s="6" t="s">
        <v>141</v>
      </c>
      <c r="BK192" s="82">
        <f>ROUND($L$192*$K$192,2)</f>
        <v>0</v>
      </c>
      <c r="BL192" s="6" t="s">
        <v>219</v>
      </c>
    </row>
    <row r="193" spans="2:51" s="6" customFormat="1" ht="15.75" customHeight="1">
      <c r="B193" s="130"/>
      <c r="E193" s="131"/>
      <c r="F193" s="209" t="s">
        <v>340</v>
      </c>
      <c r="G193" s="210"/>
      <c r="H193" s="210"/>
      <c r="I193" s="210"/>
      <c r="K193" s="132">
        <v>1238.476</v>
      </c>
      <c r="R193" s="133"/>
      <c r="T193" s="134"/>
      <c r="AA193" s="135"/>
      <c r="AT193" s="131" t="s">
        <v>173</v>
      </c>
      <c r="AU193" s="131" t="s">
        <v>141</v>
      </c>
      <c r="AV193" s="131" t="s">
        <v>141</v>
      </c>
      <c r="AW193" s="131" t="s">
        <v>125</v>
      </c>
      <c r="AX193" s="131" t="s">
        <v>17</v>
      </c>
      <c r="AY193" s="131" t="s">
        <v>163</v>
      </c>
    </row>
    <row r="194" spans="2:64" s="6" customFormat="1" ht="27" customHeight="1">
      <c r="B194" s="21"/>
      <c r="C194" s="123" t="s">
        <v>263</v>
      </c>
      <c r="D194" s="123" t="s">
        <v>164</v>
      </c>
      <c r="E194" s="124" t="s">
        <v>308</v>
      </c>
      <c r="F194" s="205" t="s">
        <v>309</v>
      </c>
      <c r="G194" s="206"/>
      <c r="H194" s="206"/>
      <c r="I194" s="206"/>
      <c r="J194" s="125" t="s">
        <v>171</v>
      </c>
      <c r="K194" s="126">
        <v>246.936</v>
      </c>
      <c r="L194" s="207">
        <v>0</v>
      </c>
      <c r="M194" s="206"/>
      <c r="N194" s="208">
        <f>ROUND($L$194*$K$194,2)</f>
        <v>0</v>
      </c>
      <c r="O194" s="206"/>
      <c r="P194" s="206"/>
      <c r="Q194" s="206"/>
      <c r="R194" s="22"/>
      <c r="T194" s="127"/>
      <c r="U194" s="28" t="s">
        <v>42</v>
      </c>
      <c r="V194" s="128">
        <v>0.005</v>
      </c>
      <c r="W194" s="128">
        <f>$V$194*$K$194</f>
        <v>1.23468</v>
      </c>
      <c r="X194" s="128">
        <v>1E-05</v>
      </c>
      <c r="Y194" s="128">
        <f>$X$194*$K$194</f>
        <v>0.0024693600000000003</v>
      </c>
      <c r="Z194" s="128">
        <v>0</v>
      </c>
      <c r="AA194" s="129">
        <f>$Z$194*$K$194</f>
        <v>0</v>
      </c>
      <c r="AR194" s="6" t="s">
        <v>219</v>
      </c>
      <c r="AT194" s="6" t="s">
        <v>164</v>
      </c>
      <c r="AU194" s="6" t="s">
        <v>141</v>
      </c>
      <c r="AY194" s="6" t="s">
        <v>163</v>
      </c>
      <c r="BE194" s="82">
        <f>IF($U$194="základní",$N$194,0)</f>
        <v>0</v>
      </c>
      <c r="BF194" s="82">
        <f>IF($U$194="snížená",$N$194,0)</f>
        <v>0</v>
      </c>
      <c r="BG194" s="82">
        <f>IF($U$194="zákl. přenesená",$N$194,0)</f>
        <v>0</v>
      </c>
      <c r="BH194" s="82">
        <f>IF($U$194="sníž. přenesená",$N$194,0)</f>
        <v>0</v>
      </c>
      <c r="BI194" s="82">
        <f>IF($U$194="nulová",$N$194,0)</f>
        <v>0</v>
      </c>
      <c r="BJ194" s="6" t="s">
        <v>141</v>
      </c>
      <c r="BK194" s="82">
        <f>ROUND($L$194*$K$194,2)</f>
        <v>0</v>
      </c>
      <c r="BL194" s="6" t="s">
        <v>219</v>
      </c>
    </row>
    <row r="195" spans="2:64" s="6" customFormat="1" ht="39" customHeight="1">
      <c r="B195" s="21"/>
      <c r="C195" s="123" t="s">
        <v>272</v>
      </c>
      <c r="D195" s="123" t="s">
        <v>164</v>
      </c>
      <c r="E195" s="124" t="s">
        <v>311</v>
      </c>
      <c r="F195" s="205" t="s">
        <v>312</v>
      </c>
      <c r="G195" s="206"/>
      <c r="H195" s="206"/>
      <c r="I195" s="206"/>
      <c r="J195" s="125" t="s">
        <v>171</v>
      </c>
      <c r="K195" s="126">
        <v>1238.476</v>
      </c>
      <c r="L195" s="207">
        <v>0</v>
      </c>
      <c r="M195" s="206"/>
      <c r="N195" s="208">
        <f>ROUND($L$195*$K$195,2)</f>
        <v>0</v>
      </c>
      <c r="O195" s="206"/>
      <c r="P195" s="206"/>
      <c r="Q195" s="206"/>
      <c r="R195" s="22"/>
      <c r="T195" s="127"/>
      <c r="U195" s="28" t="s">
        <v>42</v>
      </c>
      <c r="V195" s="128">
        <v>0.053</v>
      </c>
      <c r="W195" s="128">
        <f>$V$195*$K$195</f>
        <v>65.639228</v>
      </c>
      <c r="X195" s="128">
        <v>0.00013</v>
      </c>
      <c r="Y195" s="128">
        <f>$X$195*$K$195</f>
        <v>0.16100188</v>
      </c>
      <c r="Z195" s="128">
        <v>0</v>
      </c>
      <c r="AA195" s="129">
        <f>$Z$195*$K$195</f>
        <v>0</v>
      </c>
      <c r="AR195" s="6" t="s">
        <v>219</v>
      </c>
      <c r="AT195" s="6" t="s">
        <v>164</v>
      </c>
      <c r="AU195" s="6" t="s">
        <v>141</v>
      </c>
      <c r="AY195" s="6" t="s">
        <v>163</v>
      </c>
      <c r="BE195" s="82">
        <f>IF($U$195="základní",$N$195,0)</f>
        <v>0</v>
      </c>
      <c r="BF195" s="82">
        <f>IF($U$195="snížená",$N$195,0)</f>
        <v>0</v>
      </c>
      <c r="BG195" s="82">
        <f>IF($U$195="zákl. přenesená",$N$195,0)</f>
        <v>0</v>
      </c>
      <c r="BH195" s="82">
        <f>IF($U$195="sníž. přenesená",$N$195,0)</f>
        <v>0</v>
      </c>
      <c r="BI195" s="82">
        <f>IF($U$195="nulová",$N$195,0)</f>
        <v>0</v>
      </c>
      <c r="BJ195" s="6" t="s">
        <v>141</v>
      </c>
      <c r="BK195" s="82">
        <f>ROUND($L$195*$K$195,2)</f>
        <v>0</v>
      </c>
      <c r="BL195" s="6" t="s">
        <v>219</v>
      </c>
    </row>
    <row r="196" spans="2:63" s="6" customFormat="1" ht="51" customHeight="1">
      <c r="B196" s="21"/>
      <c r="D196" s="115" t="s">
        <v>313</v>
      </c>
      <c r="N196" s="201">
        <f>$BK$196</f>
        <v>0</v>
      </c>
      <c r="O196" s="161"/>
      <c r="P196" s="161"/>
      <c r="Q196" s="161"/>
      <c r="R196" s="22"/>
      <c r="T196" s="53"/>
      <c r="AA196" s="54"/>
      <c r="AT196" s="6" t="s">
        <v>74</v>
      </c>
      <c r="AU196" s="6" t="s">
        <v>75</v>
      </c>
      <c r="AY196" s="6" t="s">
        <v>314</v>
      </c>
      <c r="BK196" s="82">
        <f>SUM($BK$197:$BK$201)</f>
        <v>0</v>
      </c>
    </row>
    <row r="197" spans="2:63" s="6" customFormat="1" ht="23.25" customHeight="1">
      <c r="B197" s="21"/>
      <c r="C197" s="153"/>
      <c r="D197" s="153" t="s">
        <v>164</v>
      </c>
      <c r="E197" s="154"/>
      <c r="F197" s="219"/>
      <c r="G197" s="220"/>
      <c r="H197" s="220"/>
      <c r="I197" s="220"/>
      <c r="J197" s="155"/>
      <c r="K197" s="140"/>
      <c r="L197" s="207"/>
      <c r="M197" s="206"/>
      <c r="N197" s="208">
        <f>$BK$197</f>
        <v>0</v>
      </c>
      <c r="O197" s="206"/>
      <c r="P197" s="206"/>
      <c r="Q197" s="206"/>
      <c r="R197" s="22"/>
      <c r="T197" s="127"/>
      <c r="U197" s="156" t="s">
        <v>42</v>
      </c>
      <c r="AA197" s="54"/>
      <c r="AT197" s="6" t="s">
        <v>314</v>
      </c>
      <c r="AU197" s="6" t="s">
        <v>17</v>
      </c>
      <c r="AY197" s="6" t="s">
        <v>314</v>
      </c>
      <c r="BE197" s="82">
        <f>IF($U$197="základní",$N$197,0)</f>
        <v>0</v>
      </c>
      <c r="BF197" s="82">
        <f>IF($U$197="snížená",$N$197,0)</f>
        <v>0</v>
      </c>
      <c r="BG197" s="82">
        <f>IF($U$197="zákl. přenesená",$N$197,0)</f>
        <v>0</v>
      </c>
      <c r="BH197" s="82">
        <f>IF($U$197="sníž. přenesená",$N$197,0)</f>
        <v>0</v>
      </c>
      <c r="BI197" s="82">
        <f>IF($U$197="nulová",$N$197,0)</f>
        <v>0</v>
      </c>
      <c r="BJ197" s="6" t="s">
        <v>141</v>
      </c>
      <c r="BK197" s="82">
        <f>$L$197*$K$197</f>
        <v>0</v>
      </c>
    </row>
    <row r="198" spans="2:63" s="6" customFormat="1" ht="23.25" customHeight="1">
      <c r="B198" s="21"/>
      <c r="C198" s="153"/>
      <c r="D198" s="153" t="s">
        <v>164</v>
      </c>
      <c r="E198" s="154"/>
      <c r="F198" s="219"/>
      <c r="G198" s="220"/>
      <c r="H198" s="220"/>
      <c r="I198" s="220"/>
      <c r="J198" s="155"/>
      <c r="K198" s="140"/>
      <c r="L198" s="207"/>
      <c r="M198" s="206"/>
      <c r="N198" s="208">
        <f>$BK$198</f>
        <v>0</v>
      </c>
      <c r="O198" s="206"/>
      <c r="P198" s="206"/>
      <c r="Q198" s="206"/>
      <c r="R198" s="22"/>
      <c r="T198" s="127"/>
      <c r="U198" s="156" t="s">
        <v>42</v>
      </c>
      <c r="AA198" s="54"/>
      <c r="AT198" s="6" t="s">
        <v>314</v>
      </c>
      <c r="AU198" s="6" t="s">
        <v>17</v>
      </c>
      <c r="AY198" s="6" t="s">
        <v>314</v>
      </c>
      <c r="BE198" s="82">
        <f>IF($U$198="základní",$N$198,0)</f>
        <v>0</v>
      </c>
      <c r="BF198" s="82">
        <f>IF($U$198="snížená",$N$198,0)</f>
        <v>0</v>
      </c>
      <c r="BG198" s="82">
        <f>IF($U$198="zákl. přenesená",$N$198,0)</f>
        <v>0</v>
      </c>
      <c r="BH198" s="82">
        <f>IF($U$198="sníž. přenesená",$N$198,0)</f>
        <v>0</v>
      </c>
      <c r="BI198" s="82">
        <f>IF($U$198="nulová",$N$198,0)</f>
        <v>0</v>
      </c>
      <c r="BJ198" s="6" t="s">
        <v>141</v>
      </c>
      <c r="BK198" s="82">
        <f>$L$198*$K$198</f>
        <v>0</v>
      </c>
    </row>
    <row r="199" spans="2:63" s="6" customFormat="1" ht="23.25" customHeight="1">
      <c r="B199" s="21"/>
      <c r="C199" s="153"/>
      <c r="D199" s="153" t="s">
        <v>164</v>
      </c>
      <c r="E199" s="154"/>
      <c r="F199" s="219"/>
      <c r="G199" s="220"/>
      <c r="H199" s="220"/>
      <c r="I199" s="220"/>
      <c r="J199" s="155"/>
      <c r="K199" s="140"/>
      <c r="L199" s="207"/>
      <c r="M199" s="206"/>
      <c r="N199" s="208">
        <f>$BK$199</f>
        <v>0</v>
      </c>
      <c r="O199" s="206"/>
      <c r="P199" s="206"/>
      <c r="Q199" s="206"/>
      <c r="R199" s="22"/>
      <c r="T199" s="127"/>
      <c r="U199" s="156" t="s">
        <v>42</v>
      </c>
      <c r="AA199" s="54"/>
      <c r="AT199" s="6" t="s">
        <v>314</v>
      </c>
      <c r="AU199" s="6" t="s">
        <v>17</v>
      </c>
      <c r="AY199" s="6" t="s">
        <v>314</v>
      </c>
      <c r="BE199" s="82">
        <f>IF($U$199="základní",$N$199,0)</f>
        <v>0</v>
      </c>
      <c r="BF199" s="82">
        <f>IF($U$199="snížená",$N$199,0)</f>
        <v>0</v>
      </c>
      <c r="BG199" s="82">
        <f>IF($U$199="zákl. přenesená",$N$199,0)</f>
        <v>0</v>
      </c>
      <c r="BH199" s="82">
        <f>IF($U$199="sníž. přenesená",$N$199,0)</f>
        <v>0</v>
      </c>
      <c r="BI199" s="82">
        <f>IF($U$199="nulová",$N$199,0)</f>
        <v>0</v>
      </c>
      <c r="BJ199" s="6" t="s">
        <v>141</v>
      </c>
      <c r="BK199" s="82">
        <f>$L$199*$K$199</f>
        <v>0</v>
      </c>
    </row>
    <row r="200" spans="2:63" s="6" customFormat="1" ht="23.25" customHeight="1">
      <c r="B200" s="21"/>
      <c r="C200" s="153"/>
      <c r="D200" s="153" t="s">
        <v>164</v>
      </c>
      <c r="E200" s="154"/>
      <c r="F200" s="219"/>
      <c r="G200" s="220"/>
      <c r="H200" s="220"/>
      <c r="I200" s="220"/>
      <c r="J200" s="155"/>
      <c r="K200" s="140"/>
      <c r="L200" s="207"/>
      <c r="M200" s="206"/>
      <c r="N200" s="208">
        <f>$BK$200</f>
        <v>0</v>
      </c>
      <c r="O200" s="206"/>
      <c r="P200" s="206"/>
      <c r="Q200" s="206"/>
      <c r="R200" s="22"/>
      <c r="T200" s="127"/>
      <c r="U200" s="156" t="s">
        <v>42</v>
      </c>
      <c r="AA200" s="54"/>
      <c r="AT200" s="6" t="s">
        <v>314</v>
      </c>
      <c r="AU200" s="6" t="s">
        <v>17</v>
      </c>
      <c r="AY200" s="6" t="s">
        <v>314</v>
      </c>
      <c r="BE200" s="82">
        <f>IF($U$200="základní",$N$200,0)</f>
        <v>0</v>
      </c>
      <c r="BF200" s="82">
        <f>IF($U$200="snížená",$N$200,0)</f>
        <v>0</v>
      </c>
      <c r="BG200" s="82">
        <f>IF($U$200="zákl. přenesená",$N$200,0)</f>
        <v>0</v>
      </c>
      <c r="BH200" s="82">
        <f>IF($U$200="sníž. přenesená",$N$200,0)</f>
        <v>0</v>
      </c>
      <c r="BI200" s="82">
        <f>IF($U$200="nulová",$N$200,0)</f>
        <v>0</v>
      </c>
      <c r="BJ200" s="6" t="s">
        <v>141</v>
      </c>
      <c r="BK200" s="82">
        <f>$L$200*$K$200</f>
        <v>0</v>
      </c>
    </row>
    <row r="201" spans="2:63" s="6" customFormat="1" ht="23.25" customHeight="1">
      <c r="B201" s="21"/>
      <c r="C201" s="153"/>
      <c r="D201" s="153" t="s">
        <v>164</v>
      </c>
      <c r="E201" s="154"/>
      <c r="F201" s="219"/>
      <c r="G201" s="220"/>
      <c r="H201" s="220"/>
      <c r="I201" s="220"/>
      <c r="J201" s="155"/>
      <c r="K201" s="140"/>
      <c r="L201" s="207"/>
      <c r="M201" s="206"/>
      <c r="N201" s="208">
        <f>$BK$201</f>
        <v>0</v>
      </c>
      <c r="O201" s="206"/>
      <c r="P201" s="206"/>
      <c r="Q201" s="206"/>
      <c r="R201" s="22"/>
      <c r="T201" s="127"/>
      <c r="U201" s="156" t="s">
        <v>42</v>
      </c>
      <c r="V201" s="40"/>
      <c r="W201" s="40"/>
      <c r="X201" s="40"/>
      <c r="Y201" s="40"/>
      <c r="Z201" s="40"/>
      <c r="AA201" s="42"/>
      <c r="AT201" s="6" t="s">
        <v>314</v>
      </c>
      <c r="AU201" s="6" t="s">
        <v>17</v>
      </c>
      <c r="AY201" s="6" t="s">
        <v>314</v>
      </c>
      <c r="BE201" s="82">
        <f>IF($U$201="základní",$N$201,0)</f>
        <v>0</v>
      </c>
      <c r="BF201" s="82">
        <f>IF($U$201="snížená",$N$201,0)</f>
        <v>0</v>
      </c>
      <c r="BG201" s="82">
        <f>IF($U$201="zákl. přenesená",$N$201,0)</f>
        <v>0</v>
      </c>
      <c r="BH201" s="82">
        <f>IF($U$201="sníž. přenesená",$N$201,0)</f>
        <v>0</v>
      </c>
      <c r="BI201" s="82">
        <f>IF($U$201="nulová",$N$201,0)</f>
        <v>0</v>
      </c>
      <c r="BJ201" s="6" t="s">
        <v>141</v>
      </c>
      <c r="BK201" s="82">
        <f>$L$201*$K$201</f>
        <v>0</v>
      </c>
    </row>
    <row r="202" spans="2:18" s="6" customFormat="1" ht="7.5" customHeight="1">
      <c r="B202" s="43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5"/>
    </row>
    <row r="206" s="2" customFormat="1" ht="14.25" customHeight="1"/>
  </sheetData>
  <sheetProtection/>
  <mergeCells count="224">
    <mergeCell ref="N179:Q179"/>
    <mergeCell ref="N196:Q196"/>
    <mergeCell ref="H1:K1"/>
    <mergeCell ref="S2:AC2"/>
    <mergeCell ref="N125:Q125"/>
    <mergeCell ref="N126:Q126"/>
    <mergeCell ref="N127:Q127"/>
    <mergeCell ref="N135:Q135"/>
    <mergeCell ref="N144:Q144"/>
    <mergeCell ref="N154:Q154"/>
    <mergeCell ref="F200:I200"/>
    <mergeCell ref="L200:M200"/>
    <mergeCell ref="N200:Q200"/>
    <mergeCell ref="F201:I201"/>
    <mergeCell ref="L201:M201"/>
    <mergeCell ref="N201:Q201"/>
    <mergeCell ref="F198:I198"/>
    <mergeCell ref="L198:M198"/>
    <mergeCell ref="N198:Q198"/>
    <mergeCell ref="F199:I199"/>
    <mergeCell ref="L199:M199"/>
    <mergeCell ref="N199:Q199"/>
    <mergeCell ref="F195:I195"/>
    <mergeCell ref="L195:M195"/>
    <mergeCell ref="N195:Q195"/>
    <mergeCell ref="F197:I197"/>
    <mergeCell ref="L197:M197"/>
    <mergeCell ref="N197:Q197"/>
    <mergeCell ref="F192:I192"/>
    <mergeCell ref="L192:M192"/>
    <mergeCell ref="N192:Q192"/>
    <mergeCell ref="F193:I193"/>
    <mergeCell ref="F194:I194"/>
    <mergeCell ref="L194:M194"/>
    <mergeCell ref="N194:Q194"/>
    <mergeCell ref="F188:I188"/>
    <mergeCell ref="F189:I189"/>
    <mergeCell ref="F190:I190"/>
    <mergeCell ref="F191:I191"/>
    <mergeCell ref="L191:M191"/>
    <mergeCell ref="N191:Q191"/>
    <mergeCell ref="F184:I184"/>
    <mergeCell ref="F185:I185"/>
    <mergeCell ref="F186:I186"/>
    <mergeCell ref="F187:I187"/>
    <mergeCell ref="L187:M187"/>
    <mergeCell ref="N187:Q187"/>
    <mergeCell ref="F180:I180"/>
    <mergeCell ref="L180:M180"/>
    <mergeCell ref="N180:Q180"/>
    <mergeCell ref="F181:I181"/>
    <mergeCell ref="F182:I182"/>
    <mergeCell ref="F183:I183"/>
    <mergeCell ref="F175:I175"/>
    <mergeCell ref="F176:I176"/>
    <mergeCell ref="F177:I177"/>
    <mergeCell ref="L177:M177"/>
    <mergeCell ref="N177:Q177"/>
    <mergeCell ref="F178:I178"/>
    <mergeCell ref="F171:I171"/>
    <mergeCell ref="F172:I172"/>
    <mergeCell ref="L172:M172"/>
    <mergeCell ref="N172:Q172"/>
    <mergeCell ref="F173:I173"/>
    <mergeCell ref="F174:I174"/>
    <mergeCell ref="L174:M174"/>
    <mergeCell ref="N174:Q174"/>
    <mergeCell ref="F168:I168"/>
    <mergeCell ref="L168:M168"/>
    <mergeCell ref="N168:Q168"/>
    <mergeCell ref="F170:I170"/>
    <mergeCell ref="L170:M170"/>
    <mergeCell ref="N170:Q170"/>
    <mergeCell ref="N169:Q169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3:I163"/>
    <mergeCell ref="L163:M163"/>
    <mergeCell ref="N163:Q163"/>
    <mergeCell ref="N161:Q161"/>
    <mergeCell ref="N162:Q162"/>
    <mergeCell ref="F157:I157"/>
    <mergeCell ref="L157:M157"/>
    <mergeCell ref="N157:Q157"/>
    <mergeCell ref="F158:I158"/>
    <mergeCell ref="F159:I159"/>
    <mergeCell ref="L159:M159"/>
    <mergeCell ref="N159:Q159"/>
    <mergeCell ref="F153:I153"/>
    <mergeCell ref="F155:I155"/>
    <mergeCell ref="L155:M155"/>
    <mergeCell ref="N155:Q155"/>
    <mergeCell ref="F156:I156"/>
    <mergeCell ref="L156:M156"/>
    <mergeCell ref="N156:Q156"/>
    <mergeCell ref="F149:I149"/>
    <mergeCell ref="F150:I150"/>
    <mergeCell ref="F151:I151"/>
    <mergeCell ref="F152:I152"/>
    <mergeCell ref="L152:M152"/>
    <mergeCell ref="N152:Q152"/>
    <mergeCell ref="F145:I145"/>
    <mergeCell ref="L145:M145"/>
    <mergeCell ref="N145:Q145"/>
    <mergeCell ref="F146:I146"/>
    <mergeCell ref="F147:I147"/>
    <mergeCell ref="F148:I148"/>
    <mergeCell ref="F142:I142"/>
    <mergeCell ref="L142:M142"/>
    <mergeCell ref="N142:Q142"/>
    <mergeCell ref="F143:I143"/>
    <mergeCell ref="L143:M143"/>
    <mergeCell ref="N143:Q143"/>
    <mergeCell ref="F139:I139"/>
    <mergeCell ref="F140:I140"/>
    <mergeCell ref="L140:M140"/>
    <mergeCell ref="N140:Q140"/>
    <mergeCell ref="F141:I141"/>
    <mergeCell ref="L141:M141"/>
    <mergeCell ref="N141:Q141"/>
    <mergeCell ref="F134:I134"/>
    <mergeCell ref="F136:I136"/>
    <mergeCell ref="L136:M136"/>
    <mergeCell ref="N136:Q136"/>
    <mergeCell ref="F137:I137"/>
    <mergeCell ref="F138:I138"/>
    <mergeCell ref="L138:M138"/>
    <mergeCell ref="N138:Q138"/>
    <mergeCell ref="F130:I130"/>
    <mergeCell ref="F131:I131"/>
    <mergeCell ref="L131:M131"/>
    <mergeCell ref="N131:Q131"/>
    <mergeCell ref="F132:I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17:P117"/>
    <mergeCell ref="M119:P119"/>
    <mergeCell ref="M121:Q121"/>
    <mergeCell ref="M122:Q122"/>
    <mergeCell ref="F124:I124"/>
    <mergeCell ref="L124:M124"/>
    <mergeCell ref="N124:Q124"/>
    <mergeCell ref="D105:H105"/>
    <mergeCell ref="N105:Q105"/>
    <mergeCell ref="N106:Q106"/>
    <mergeCell ref="L108:Q108"/>
    <mergeCell ref="C114:Q114"/>
    <mergeCell ref="F116:P116"/>
    <mergeCell ref="D102:H102"/>
    <mergeCell ref="N102:Q102"/>
    <mergeCell ref="D103:H103"/>
    <mergeCell ref="N103:Q103"/>
    <mergeCell ref="D104:H104"/>
    <mergeCell ref="N104:Q104"/>
    <mergeCell ref="N95:Q95"/>
    <mergeCell ref="N96:Q96"/>
    <mergeCell ref="N97:Q97"/>
    <mergeCell ref="N98:Q98"/>
    <mergeCell ref="N100:Q100"/>
    <mergeCell ref="D101:H101"/>
    <mergeCell ref="N101:Q101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197:D202">
      <formula1>"K,M"</formula1>
    </dataValidation>
    <dataValidation type="list" allowBlank="1" showInputMessage="1" showErrorMessage="1" error="Povoleny jsou hodnoty základní, snížená, zákl. přenesená, sníž. přenesená, nulová." sqref="U197:U202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4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29"/>
      <c r="B1" s="226"/>
      <c r="C1" s="226"/>
      <c r="D1" s="227" t="s">
        <v>1</v>
      </c>
      <c r="E1" s="226"/>
      <c r="F1" s="228" t="s">
        <v>431</v>
      </c>
      <c r="G1" s="228"/>
      <c r="H1" s="230" t="s">
        <v>432</v>
      </c>
      <c r="I1" s="230"/>
      <c r="J1" s="230"/>
      <c r="K1" s="230"/>
      <c r="L1" s="228" t="s">
        <v>433</v>
      </c>
      <c r="M1" s="226"/>
      <c r="N1" s="226"/>
      <c r="O1" s="227" t="s">
        <v>116</v>
      </c>
      <c r="P1" s="226"/>
      <c r="Q1" s="226"/>
      <c r="R1" s="226"/>
      <c r="S1" s="228" t="s">
        <v>434</v>
      </c>
      <c r="T1" s="228"/>
      <c r="U1" s="229"/>
      <c r="V1" s="22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7" t="s">
        <v>4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91" t="s">
        <v>5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2" t="s">
        <v>88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17</v>
      </c>
    </row>
    <row r="4" spans="2:46" s="2" customFormat="1" ht="37.5" customHeight="1">
      <c r="B4" s="10"/>
      <c r="C4" s="159" t="s">
        <v>117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14</v>
      </c>
      <c r="F6" s="192" t="str">
        <f>'Rekapitulace stavby'!$K$6</f>
        <v>1327 - Stavební úpravy stávajícího objektu - rozdělení sklepních kójí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R6" s="11"/>
    </row>
    <row r="7" spans="2:18" s="6" customFormat="1" ht="18.75" customHeight="1">
      <c r="B7" s="21"/>
      <c r="D7" s="14" t="s">
        <v>118</v>
      </c>
      <c r="F7" s="163" t="s">
        <v>341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  <c r="R7" s="22"/>
    </row>
    <row r="8" spans="2:18" s="6" customFormat="1" ht="7.5" customHeight="1">
      <c r="B8" s="21"/>
      <c r="R8" s="22"/>
    </row>
    <row r="9" spans="2:18" s="6" customFormat="1" ht="15" customHeight="1">
      <c r="B9" s="21"/>
      <c r="D9" s="15" t="s">
        <v>18</v>
      </c>
      <c r="F9" s="16" t="s">
        <v>19</v>
      </c>
      <c r="M9" s="15" t="s">
        <v>20</v>
      </c>
      <c r="O9" s="193" t="str">
        <f>'Rekapitulace stavby'!$AN$8</f>
        <v>08.07.2013</v>
      </c>
      <c r="P9" s="161"/>
      <c r="R9" s="22"/>
    </row>
    <row r="10" spans="2:18" s="6" customFormat="1" ht="7.5" customHeight="1">
      <c r="B10" s="21"/>
      <c r="R10" s="22"/>
    </row>
    <row r="11" spans="2:18" s="6" customFormat="1" ht="15" customHeight="1">
      <c r="B11" s="21"/>
      <c r="D11" s="15" t="s">
        <v>24</v>
      </c>
      <c r="M11" s="15" t="s">
        <v>25</v>
      </c>
      <c r="O11" s="174"/>
      <c r="P11" s="161"/>
      <c r="R11" s="22"/>
    </row>
    <row r="12" spans="2:18" s="6" customFormat="1" ht="18.75" customHeight="1">
      <c r="B12" s="21"/>
      <c r="E12" s="16" t="s">
        <v>26</v>
      </c>
      <c r="M12" s="15" t="s">
        <v>27</v>
      </c>
      <c r="O12" s="174"/>
      <c r="P12" s="161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5" t="s">
        <v>28</v>
      </c>
      <c r="M14" s="15" t="s">
        <v>25</v>
      </c>
      <c r="O14" s="194" t="str">
        <f>IF('Rekapitulace stavby'!$AN$13="","",'Rekapitulace stavby'!$AN$13)</f>
        <v>Vyplň údaj</v>
      </c>
      <c r="P14" s="161"/>
      <c r="R14" s="22"/>
    </row>
    <row r="15" spans="2:18" s="6" customFormat="1" ht="18.75" customHeight="1">
      <c r="B15" s="21"/>
      <c r="E15" s="194" t="str">
        <f>IF('Rekapitulace stavby'!$E$14="","",'Rekapitulace stavby'!$E$14)</f>
        <v>Vyplň údaj</v>
      </c>
      <c r="F15" s="161"/>
      <c r="G15" s="161"/>
      <c r="H15" s="161"/>
      <c r="I15" s="161"/>
      <c r="J15" s="161"/>
      <c r="K15" s="161"/>
      <c r="L15" s="161"/>
      <c r="M15" s="15" t="s">
        <v>27</v>
      </c>
      <c r="O15" s="194" t="str">
        <f>IF('Rekapitulace stavby'!$AN$14="","",'Rekapitulace stavby'!$AN$14)</f>
        <v>Vyplň údaj</v>
      </c>
      <c r="P15" s="161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5" t="s">
        <v>30</v>
      </c>
      <c r="M17" s="15" t="s">
        <v>25</v>
      </c>
      <c r="O17" s="174"/>
      <c r="P17" s="161"/>
      <c r="R17" s="22"/>
    </row>
    <row r="18" spans="2:18" s="6" customFormat="1" ht="18.75" customHeight="1">
      <c r="B18" s="21"/>
      <c r="E18" s="16" t="s">
        <v>31</v>
      </c>
      <c r="M18" s="15" t="s">
        <v>27</v>
      </c>
      <c r="O18" s="174"/>
      <c r="P18" s="161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5" t="s">
        <v>33</v>
      </c>
      <c r="M20" s="15" t="s">
        <v>25</v>
      </c>
      <c r="O20" s="174" t="s">
        <v>34</v>
      </c>
      <c r="P20" s="161"/>
      <c r="R20" s="22"/>
    </row>
    <row r="21" spans="2:18" s="6" customFormat="1" ht="18.75" customHeight="1">
      <c r="B21" s="21"/>
      <c r="E21" s="16" t="s">
        <v>31</v>
      </c>
      <c r="M21" s="15" t="s">
        <v>27</v>
      </c>
      <c r="O21" s="174" t="s">
        <v>35</v>
      </c>
      <c r="P21" s="161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R23" s="22"/>
    </row>
    <row r="24" spans="2:18" s="6" customFormat="1" ht="15" customHeight="1">
      <c r="B24" s="21"/>
      <c r="D24" s="90" t="s">
        <v>120</v>
      </c>
      <c r="M24" s="165">
        <f>$N$88</f>
        <v>0</v>
      </c>
      <c r="N24" s="161"/>
      <c r="O24" s="161"/>
      <c r="P24" s="161"/>
      <c r="R24" s="22"/>
    </row>
    <row r="25" spans="2:18" s="6" customFormat="1" ht="15" customHeight="1">
      <c r="B25" s="21"/>
      <c r="D25" s="20" t="s">
        <v>108</v>
      </c>
      <c r="M25" s="165">
        <f>$N$102</f>
        <v>0</v>
      </c>
      <c r="N25" s="161"/>
      <c r="O25" s="161"/>
      <c r="P25" s="161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91" t="s">
        <v>38</v>
      </c>
      <c r="M27" s="195">
        <f>ROUNDUP($M$24+$M$25,2)</f>
        <v>0</v>
      </c>
      <c r="N27" s="161"/>
      <c r="O27" s="161"/>
      <c r="P27" s="161"/>
      <c r="R27" s="22"/>
    </row>
    <row r="28" spans="2:18" s="6" customFormat="1" ht="7.5" customHeight="1">
      <c r="B28" s="2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R28" s="22"/>
    </row>
    <row r="29" spans="2:18" s="6" customFormat="1" ht="15" customHeight="1">
      <c r="B29" s="21"/>
      <c r="D29" s="26" t="s">
        <v>39</v>
      </c>
      <c r="E29" s="26" t="s">
        <v>40</v>
      </c>
      <c r="F29" s="27">
        <v>0.21</v>
      </c>
      <c r="G29" s="92" t="s">
        <v>41</v>
      </c>
      <c r="H29" s="196">
        <f>ROUNDUP((((SUM($BE$102:$BE$109)+SUM($BE$127:$BE$207))+SUM($BE$209:$BE$213))),2)</f>
        <v>0</v>
      </c>
      <c r="I29" s="161"/>
      <c r="J29" s="161"/>
      <c r="M29" s="196">
        <f>ROUNDUP((((SUM($BE$102:$BE$109)+SUM($BE$127:$BE$207))*$F$29)+SUM($BE$209:$BE$213)*$F$29),1)</f>
        <v>0</v>
      </c>
      <c r="N29" s="161"/>
      <c r="O29" s="161"/>
      <c r="P29" s="161"/>
      <c r="R29" s="22"/>
    </row>
    <row r="30" spans="2:18" s="6" customFormat="1" ht="15" customHeight="1">
      <c r="B30" s="21"/>
      <c r="E30" s="26" t="s">
        <v>42</v>
      </c>
      <c r="F30" s="27">
        <v>0.15</v>
      </c>
      <c r="G30" s="92" t="s">
        <v>41</v>
      </c>
      <c r="H30" s="196">
        <f>ROUNDUP((((SUM($BF$102:$BF$109)+SUM($BF$127:$BF$207))+SUM($BF$209:$BF$213))),2)</f>
        <v>0</v>
      </c>
      <c r="I30" s="161"/>
      <c r="J30" s="161"/>
      <c r="M30" s="196">
        <f>ROUNDUP((((SUM($BF$102:$BF$109)+SUM($BF$127:$BF$207))*$F$30)+SUM($BF$209:$BF$213)*$F$30),1)</f>
        <v>0</v>
      </c>
      <c r="N30" s="161"/>
      <c r="O30" s="161"/>
      <c r="P30" s="161"/>
      <c r="R30" s="22"/>
    </row>
    <row r="31" spans="2:18" s="6" customFormat="1" ht="15" customHeight="1" hidden="1">
      <c r="B31" s="21"/>
      <c r="E31" s="26" t="s">
        <v>43</v>
      </c>
      <c r="F31" s="27">
        <v>0.21</v>
      </c>
      <c r="G31" s="92" t="s">
        <v>41</v>
      </c>
      <c r="H31" s="196">
        <f>ROUNDUP((((SUM($BG$102:$BG$109)+SUM($BG$127:$BG$207))+SUM($BG$209:$BG$213))),2)</f>
        <v>0</v>
      </c>
      <c r="I31" s="161"/>
      <c r="J31" s="161"/>
      <c r="M31" s="196">
        <v>0</v>
      </c>
      <c r="N31" s="161"/>
      <c r="O31" s="161"/>
      <c r="P31" s="161"/>
      <c r="R31" s="22"/>
    </row>
    <row r="32" spans="2:18" s="6" customFormat="1" ht="15" customHeight="1" hidden="1">
      <c r="B32" s="21"/>
      <c r="E32" s="26" t="s">
        <v>44</v>
      </c>
      <c r="F32" s="27">
        <v>0.15</v>
      </c>
      <c r="G32" s="92" t="s">
        <v>41</v>
      </c>
      <c r="H32" s="196">
        <f>ROUNDUP((((SUM($BH$102:$BH$109)+SUM($BH$127:$BH$207))+SUM($BH$209:$BH$213))),2)</f>
        <v>0</v>
      </c>
      <c r="I32" s="161"/>
      <c r="J32" s="161"/>
      <c r="M32" s="196">
        <v>0</v>
      </c>
      <c r="N32" s="161"/>
      <c r="O32" s="161"/>
      <c r="P32" s="161"/>
      <c r="R32" s="22"/>
    </row>
    <row r="33" spans="2:18" s="6" customFormat="1" ht="15" customHeight="1" hidden="1">
      <c r="B33" s="21"/>
      <c r="E33" s="26" t="s">
        <v>45</v>
      </c>
      <c r="F33" s="27">
        <v>0</v>
      </c>
      <c r="G33" s="92" t="s">
        <v>41</v>
      </c>
      <c r="H33" s="196">
        <f>ROUNDUP((((SUM($BI$102:$BI$109)+SUM($BI$127:$BI$207))+SUM($BI$209:$BI$213))),2)</f>
        <v>0</v>
      </c>
      <c r="I33" s="161"/>
      <c r="J33" s="161"/>
      <c r="M33" s="196">
        <v>0</v>
      </c>
      <c r="N33" s="161"/>
      <c r="O33" s="161"/>
      <c r="P33" s="161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30"/>
      <c r="D35" s="31" t="s">
        <v>46</v>
      </c>
      <c r="E35" s="32"/>
      <c r="F35" s="32"/>
      <c r="G35" s="93" t="s">
        <v>47</v>
      </c>
      <c r="H35" s="33" t="s">
        <v>48</v>
      </c>
      <c r="I35" s="32"/>
      <c r="J35" s="32"/>
      <c r="K35" s="32"/>
      <c r="L35" s="172">
        <f>ROUNDUP(SUM($M$27:$M$33),2)</f>
        <v>0</v>
      </c>
      <c r="M35" s="171"/>
      <c r="N35" s="171"/>
      <c r="O35" s="171"/>
      <c r="P35" s="173"/>
      <c r="Q35" s="30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4" t="s">
        <v>49</v>
      </c>
      <c r="E50" s="35"/>
      <c r="F50" s="35"/>
      <c r="G50" s="35"/>
      <c r="H50" s="36"/>
      <c r="J50" s="34" t="s">
        <v>50</v>
      </c>
      <c r="K50" s="35"/>
      <c r="L50" s="35"/>
      <c r="M50" s="35"/>
      <c r="N50" s="35"/>
      <c r="O50" s="35"/>
      <c r="P50" s="36"/>
      <c r="R50" s="22"/>
    </row>
    <row r="51" spans="2:18" s="2" customFormat="1" ht="14.25" customHeight="1">
      <c r="B51" s="10"/>
      <c r="D51" s="37"/>
      <c r="H51" s="38"/>
      <c r="J51" s="37"/>
      <c r="P51" s="38"/>
      <c r="R51" s="11"/>
    </row>
    <row r="52" spans="2:18" s="2" customFormat="1" ht="14.25" customHeight="1">
      <c r="B52" s="10"/>
      <c r="D52" s="37"/>
      <c r="H52" s="38"/>
      <c r="J52" s="37"/>
      <c r="P52" s="38"/>
      <c r="R52" s="11"/>
    </row>
    <row r="53" spans="2:18" s="2" customFormat="1" ht="14.25" customHeight="1">
      <c r="B53" s="10"/>
      <c r="D53" s="37"/>
      <c r="H53" s="38"/>
      <c r="J53" s="37"/>
      <c r="P53" s="38"/>
      <c r="R53" s="11"/>
    </row>
    <row r="54" spans="2:18" s="2" customFormat="1" ht="14.25" customHeight="1">
      <c r="B54" s="10"/>
      <c r="D54" s="37"/>
      <c r="H54" s="38"/>
      <c r="J54" s="37"/>
      <c r="P54" s="38"/>
      <c r="R54" s="11"/>
    </row>
    <row r="55" spans="2:18" s="2" customFormat="1" ht="14.25" customHeight="1">
      <c r="B55" s="10"/>
      <c r="D55" s="37"/>
      <c r="H55" s="38"/>
      <c r="J55" s="37"/>
      <c r="P55" s="38"/>
      <c r="R55" s="11"/>
    </row>
    <row r="56" spans="2:18" s="2" customFormat="1" ht="14.25" customHeight="1">
      <c r="B56" s="10"/>
      <c r="D56" s="37"/>
      <c r="H56" s="38"/>
      <c r="J56" s="37"/>
      <c r="P56" s="38"/>
      <c r="R56" s="11"/>
    </row>
    <row r="57" spans="2:18" s="2" customFormat="1" ht="14.25" customHeight="1">
      <c r="B57" s="10"/>
      <c r="D57" s="37"/>
      <c r="H57" s="38"/>
      <c r="J57" s="37"/>
      <c r="P57" s="38"/>
      <c r="R57" s="11"/>
    </row>
    <row r="58" spans="2:18" s="2" customFormat="1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1"/>
      <c r="D59" s="39" t="s">
        <v>51</v>
      </c>
      <c r="E59" s="40"/>
      <c r="F59" s="40"/>
      <c r="G59" s="41" t="s">
        <v>52</v>
      </c>
      <c r="H59" s="42"/>
      <c r="J59" s="39" t="s">
        <v>51</v>
      </c>
      <c r="K59" s="40"/>
      <c r="L59" s="40"/>
      <c r="M59" s="40"/>
      <c r="N59" s="41" t="s">
        <v>52</v>
      </c>
      <c r="O59" s="40"/>
      <c r="P59" s="42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4" t="s">
        <v>53</v>
      </c>
      <c r="E61" s="35"/>
      <c r="F61" s="35"/>
      <c r="G61" s="35"/>
      <c r="H61" s="36"/>
      <c r="J61" s="34" t="s">
        <v>54</v>
      </c>
      <c r="K61" s="35"/>
      <c r="L61" s="35"/>
      <c r="M61" s="35"/>
      <c r="N61" s="35"/>
      <c r="O61" s="35"/>
      <c r="P61" s="36"/>
      <c r="R61" s="22"/>
    </row>
    <row r="62" spans="2:18" s="2" customFormat="1" ht="14.25" customHeight="1">
      <c r="B62" s="10"/>
      <c r="D62" s="37"/>
      <c r="H62" s="38"/>
      <c r="J62" s="37"/>
      <c r="P62" s="38"/>
      <c r="R62" s="11"/>
    </row>
    <row r="63" spans="2:18" s="2" customFormat="1" ht="14.25" customHeight="1">
      <c r="B63" s="10"/>
      <c r="D63" s="37"/>
      <c r="H63" s="38"/>
      <c r="J63" s="37"/>
      <c r="P63" s="38"/>
      <c r="R63" s="11"/>
    </row>
    <row r="64" spans="2:18" s="2" customFormat="1" ht="14.25" customHeight="1">
      <c r="B64" s="10"/>
      <c r="D64" s="37"/>
      <c r="H64" s="38"/>
      <c r="J64" s="37"/>
      <c r="P64" s="38"/>
      <c r="R64" s="11"/>
    </row>
    <row r="65" spans="2:18" s="2" customFormat="1" ht="14.25" customHeight="1">
      <c r="B65" s="10"/>
      <c r="D65" s="37"/>
      <c r="H65" s="38"/>
      <c r="J65" s="37"/>
      <c r="P65" s="38"/>
      <c r="R65" s="11"/>
    </row>
    <row r="66" spans="2:18" s="2" customFormat="1" ht="14.25" customHeight="1">
      <c r="B66" s="10"/>
      <c r="D66" s="37"/>
      <c r="H66" s="38"/>
      <c r="J66" s="37"/>
      <c r="P66" s="38"/>
      <c r="R66" s="11"/>
    </row>
    <row r="67" spans="2:18" s="2" customFormat="1" ht="14.25" customHeight="1">
      <c r="B67" s="10"/>
      <c r="D67" s="37"/>
      <c r="H67" s="38"/>
      <c r="J67" s="37"/>
      <c r="P67" s="38"/>
      <c r="R67" s="11"/>
    </row>
    <row r="68" spans="2:18" s="2" customFormat="1" ht="14.25" customHeight="1">
      <c r="B68" s="10"/>
      <c r="D68" s="37"/>
      <c r="H68" s="38"/>
      <c r="J68" s="37"/>
      <c r="P68" s="38"/>
      <c r="R68" s="11"/>
    </row>
    <row r="69" spans="2:18" s="2" customFormat="1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1"/>
      <c r="D70" s="39" t="s">
        <v>51</v>
      </c>
      <c r="E70" s="40"/>
      <c r="F70" s="40"/>
      <c r="G70" s="41" t="s">
        <v>52</v>
      </c>
      <c r="H70" s="42"/>
      <c r="J70" s="39" t="s">
        <v>51</v>
      </c>
      <c r="K70" s="40"/>
      <c r="L70" s="40"/>
      <c r="M70" s="40"/>
      <c r="N70" s="41" t="s">
        <v>52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59" t="s">
        <v>121</v>
      </c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22"/>
    </row>
    <row r="77" spans="2:18" s="6" customFormat="1" ht="7.5" customHeight="1">
      <c r="B77" s="21"/>
      <c r="R77" s="22"/>
    </row>
    <row r="78" spans="2:18" s="6" customFormat="1" ht="15" customHeight="1">
      <c r="B78" s="21"/>
      <c r="C78" s="15" t="s">
        <v>14</v>
      </c>
      <c r="F78" s="192" t="str">
        <f>$F$6</f>
        <v>1327 - Stavební úpravy stávajícího objektu - rozdělení sklepních kójí</v>
      </c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R78" s="22"/>
    </row>
    <row r="79" spans="2:18" s="6" customFormat="1" ht="15" customHeight="1">
      <c r="B79" s="21"/>
      <c r="C79" s="14" t="s">
        <v>118</v>
      </c>
      <c r="F79" s="163" t="str">
        <f>$F$7</f>
        <v>1327 c - Sklepní kóje čp. 639</v>
      </c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5" t="s">
        <v>18</v>
      </c>
      <c r="F81" s="16" t="str">
        <f>$F$9</f>
        <v>Kolín II, Benešova čp. 636 - 641</v>
      </c>
      <c r="K81" s="15" t="s">
        <v>20</v>
      </c>
      <c r="M81" s="197" t="str">
        <f>IF($O$9="","",$O$9)</f>
        <v>08.07.2013</v>
      </c>
      <c r="N81" s="161"/>
      <c r="O81" s="161"/>
      <c r="P81" s="161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5" t="s">
        <v>24</v>
      </c>
      <c r="F83" s="16" t="str">
        <f>$E$12</f>
        <v>Město Kolín, Karlovo náměstí 78, 280 02 Kolín 1</v>
      </c>
      <c r="K83" s="15" t="s">
        <v>30</v>
      </c>
      <c r="M83" s="174" t="str">
        <f>$E$18</f>
        <v>Ing. Karel Vrátný, Rubešova 60, 280 02 Kolín</v>
      </c>
      <c r="N83" s="161"/>
      <c r="O83" s="161"/>
      <c r="P83" s="161"/>
      <c r="Q83" s="161"/>
      <c r="R83" s="22"/>
    </row>
    <row r="84" spans="2:18" s="6" customFormat="1" ht="15" customHeight="1">
      <c r="B84" s="21"/>
      <c r="C84" s="15" t="s">
        <v>28</v>
      </c>
      <c r="F84" s="16" t="str">
        <f>IF($E$15="","",$E$15)</f>
        <v>Vyplň údaj</v>
      </c>
      <c r="K84" s="15" t="s">
        <v>33</v>
      </c>
      <c r="M84" s="174" t="str">
        <f>$E$21</f>
        <v>Ing. Karel Vrátný, Rubešova 60, 280 02 Kolín</v>
      </c>
      <c r="N84" s="161"/>
      <c r="O84" s="161"/>
      <c r="P84" s="161"/>
      <c r="Q84" s="161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198" t="s">
        <v>122</v>
      </c>
      <c r="D86" s="190"/>
      <c r="E86" s="190"/>
      <c r="F86" s="190"/>
      <c r="G86" s="190"/>
      <c r="H86" s="30"/>
      <c r="I86" s="30"/>
      <c r="J86" s="30"/>
      <c r="K86" s="30"/>
      <c r="L86" s="30"/>
      <c r="M86" s="30"/>
      <c r="N86" s="198" t="s">
        <v>123</v>
      </c>
      <c r="O86" s="161"/>
      <c r="P86" s="161"/>
      <c r="Q86" s="161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0" t="s">
        <v>124</v>
      </c>
      <c r="N88" s="187">
        <f>ROUNDUP($N$127,2)</f>
        <v>0</v>
      </c>
      <c r="O88" s="161"/>
      <c r="P88" s="161"/>
      <c r="Q88" s="161"/>
      <c r="R88" s="22"/>
      <c r="AU88" s="6" t="s">
        <v>125</v>
      </c>
    </row>
    <row r="89" spans="2:18" s="65" customFormat="1" ht="25.5" customHeight="1">
      <c r="B89" s="94"/>
      <c r="D89" s="95" t="s">
        <v>126</v>
      </c>
      <c r="N89" s="199">
        <f>ROUNDUP($N$128,2)</f>
        <v>0</v>
      </c>
      <c r="O89" s="200"/>
      <c r="P89" s="200"/>
      <c r="Q89" s="200"/>
      <c r="R89" s="96"/>
    </row>
    <row r="90" spans="2:18" s="90" customFormat="1" ht="21" customHeight="1">
      <c r="B90" s="97"/>
      <c r="D90" s="78" t="s">
        <v>127</v>
      </c>
      <c r="N90" s="185">
        <f>ROUNDUP($N$129,2)</f>
        <v>0</v>
      </c>
      <c r="O90" s="200"/>
      <c r="P90" s="200"/>
      <c r="Q90" s="200"/>
      <c r="R90" s="98"/>
    </row>
    <row r="91" spans="2:18" s="90" customFormat="1" ht="21" customHeight="1">
      <c r="B91" s="97"/>
      <c r="D91" s="78" t="s">
        <v>128</v>
      </c>
      <c r="N91" s="185">
        <f>ROUNDUP($N$135,2)</f>
        <v>0</v>
      </c>
      <c r="O91" s="200"/>
      <c r="P91" s="200"/>
      <c r="Q91" s="200"/>
      <c r="R91" s="98"/>
    </row>
    <row r="92" spans="2:18" s="90" customFormat="1" ht="21" customHeight="1">
      <c r="B92" s="97"/>
      <c r="D92" s="78" t="s">
        <v>129</v>
      </c>
      <c r="N92" s="185">
        <f>ROUNDUP($N$143,2)</f>
        <v>0</v>
      </c>
      <c r="O92" s="200"/>
      <c r="P92" s="200"/>
      <c r="Q92" s="200"/>
      <c r="R92" s="98"/>
    </row>
    <row r="93" spans="2:18" s="90" customFormat="1" ht="15.75" customHeight="1">
      <c r="B93" s="97"/>
      <c r="D93" s="78" t="s">
        <v>130</v>
      </c>
      <c r="N93" s="185">
        <f>ROUNDUP($N$158,2)</f>
        <v>0</v>
      </c>
      <c r="O93" s="200"/>
      <c r="P93" s="200"/>
      <c r="Q93" s="200"/>
      <c r="R93" s="98"/>
    </row>
    <row r="94" spans="2:18" s="65" customFormat="1" ht="25.5" customHeight="1">
      <c r="B94" s="94"/>
      <c r="D94" s="95" t="s">
        <v>131</v>
      </c>
      <c r="N94" s="199">
        <f>ROUNDUP($N$165,2)</f>
        <v>0</v>
      </c>
      <c r="O94" s="200"/>
      <c r="P94" s="200"/>
      <c r="Q94" s="200"/>
      <c r="R94" s="96"/>
    </row>
    <row r="95" spans="2:18" s="90" customFormat="1" ht="21" customHeight="1">
      <c r="B95" s="97"/>
      <c r="D95" s="78" t="s">
        <v>342</v>
      </c>
      <c r="N95" s="185">
        <f>ROUNDUP($N$166,2)</f>
        <v>0</v>
      </c>
      <c r="O95" s="200"/>
      <c r="P95" s="200"/>
      <c r="Q95" s="200"/>
      <c r="R95" s="98"/>
    </row>
    <row r="96" spans="2:18" s="90" customFormat="1" ht="21" customHeight="1">
      <c r="B96" s="97"/>
      <c r="D96" s="78" t="s">
        <v>133</v>
      </c>
      <c r="N96" s="185">
        <f>ROUNDUP($N$169,2)</f>
        <v>0</v>
      </c>
      <c r="O96" s="200"/>
      <c r="P96" s="200"/>
      <c r="Q96" s="200"/>
      <c r="R96" s="98"/>
    </row>
    <row r="97" spans="2:18" s="90" customFormat="1" ht="21" customHeight="1">
      <c r="B97" s="97"/>
      <c r="D97" s="78" t="s">
        <v>134</v>
      </c>
      <c r="N97" s="185">
        <f>ROUNDUP($N$178,2)</f>
        <v>0</v>
      </c>
      <c r="O97" s="200"/>
      <c r="P97" s="200"/>
      <c r="Q97" s="200"/>
      <c r="R97" s="98"/>
    </row>
    <row r="98" spans="2:18" s="90" customFormat="1" ht="21" customHeight="1">
      <c r="B98" s="97"/>
      <c r="D98" s="78" t="s">
        <v>135</v>
      </c>
      <c r="N98" s="185">
        <f>ROUNDUP($N$185,2)</f>
        <v>0</v>
      </c>
      <c r="O98" s="200"/>
      <c r="P98" s="200"/>
      <c r="Q98" s="200"/>
      <c r="R98" s="98"/>
    </row>
    <row r="99" spans="2:18" s="90" customFormat="1" ht="21" customHeight="1">
      <c r="B99" s="97"/>
      <c r="D99" s="78" t="s">
        <v>136</v>
      </c>
      <c r="N99" s="185">
        <f>ROUNDUP($N$192,2)</f>
        <v>0</v>
      </c>
      <c r="O99" s="200"/>
      <c r="P99" s="200"/>
      <c r="Q99" s="200"/>
      <c r="R99" s="98"/>
    </row>
    <row r="100" spans="2:18" s="65" customFormat="1" ht="22.5" customHeight="1">
      <c r="B100" s="94"/>
      <c r="D100" s="95" t="s">
        <v>137</v>
      </c>
      <c r="N100" s="201">
        <f>$N$208</f>
        <v>0</v>
      </c>
      <c r="O100" s="200"/>
      <c r="P100" s="200"/>
      <c r="Q100" s="200"/>
      <c r="R100" s="96"/>
    </row>
    <row r="101" spans="2:18" s="6" customFormat="1" ht="22.5" customHeight="1">
      <c r="B101" s="21"/>
      <c r="R101" s="22"/>
    </row>
    <row r="102" spans="2:21" s="6" customFormat="1" ht="30" customHeight="1">
      <c r="B102" s="21"/>
      <c r="C102" s="60" t="s">
        <v>138</v>
      </c>
      <c r="N102" s="187">
        <f>ROUNDUP($N$103+$N$104+$N$105+$N$106+$N$107+$N$108,2)</f>
        <v>0</v>
      </c>
      <c r="O102" s="161"/>
      <c r="P102" s="161"/>
      <c r="Q102" s="161"/>
      <c r="R102" s="22"/>
      <c r="T102" s="99"/>
      <c r="U102" s="100" t="s">
        <v>39</v>
      </c>
    </row>
    <row r="103" spans="2:62" s="6" customFormat="1" ht="18.75" customHeight="1">
      <c r="B103" s="21"/>
      <c r="D103" s="186" t="s">
        <v>139</v>
      </c>
      <c r="E103" s="161"/>
      <c r="F103" s="161"/>
      <c r="G103" s="161"/>
      <c r="H103" s="161"/>
      <c r="N103" s="184">
        <f>ROUNDUP($N$88*$T$103,2)</f>
        <v>0</v>
      </c>
      <c r="O103" s="161"/>
      <c r="P103" s="161"/>
      <c r="Q103" s="161"/>
      <c r="R103" s="22"/>
      <c r="T103" s="101"/>
      <c r="U103" s="102" t="s">
        <v>42</v>
      </c>
      <c r="AY103" s="6" t="s">
        <v>140</v>
      </c>
      <c r="BE103" s="82">
        <f>IF($U$103="základní",$N$103,0)</f>
        <v>0</v>
      </c>
      <c r="BF103" s="82">
        <f>IF($U$103="snížená",$N$103,0)</f>
        <v>0</v>
      </c>
      <c r="BG103" s="82">
        <f>IF($U$103="zákl. přenesená",$N$103,0)</f>
        <v>0</v>
      </c>
      <c r="BH103" s="82">
        <f>IF($U$103="sníž. přenesená",$N$103,0)</f>
        <v>0</v>
      </c>
      <c r="BI103" s="82">
        <f>IF($U$103="nulová",$N$103,0)</f>
        <v>0</v>
      </c>
      <c r="BJ103" s="6" t="s">
        <v>141</v>
      </c>
    </row>
    <row r="104" spans="2:62" s="6" customFormat="1" ht="18.75" customHeight="1">
      <c r="B104" s="21"/>
      <c r="D104" s="186" t="s">
        <v>142</v>
      </c>
      <c r="E104" s="161"/>
      <c r="F104" s="161"/>
      <c r="G104" s="161"/>
      <c r="H104" s="161"/>
      <c r="N104" s="184">
        <f>ROUNDUP($N$88*$T$104,2)</f>
        <v>0</v>
      </c>
      <c r="O104" s="161"/>
      <c r="P104" s="161"/>
      <c r="Q104" s="161"/>
      <c r="R104" s="22"/>
      <c r="T104" s="101"/>
      <c r="U104" s="102" t="s">
        <v>42</v>
      </c>
      <c r="AY104" s="6" t="s">
        <v>140</v>
      </c>
      <c r="BE104" s="82">
        <f>IF($U$104="základní",$N$104,0)</f>
        <v>0</v>
      </c>
      <c r="BF104" s="82">
        <f>IF($U$104="snížená",$N$104,0)</f>
        <v>0</v>
      </c>
      <c r="BG104" s="82">
        <f>IF($U$104="zákl. přenesená",$N$104,0)</f>
        <v>0</v>
      </c>
      <c r="BH104" s="82">
        <f>IF($U$104="sníž. přenesená",$N$104,0)</f>
        <v>0</v>
      </c>
      <c r="BI104" s="82">
        <f>IF($U$104="nulová",$N$104,0)</f>
        <v>0</v>
      </c>
      <c r="BJ104" s="6" t="s">
        <v>141</v>
      </c>
    </row>
    <row r="105" spans="2:62" s="6" customFormat="1" ht="18.75" customHeight="1">
      <c r="B105" s="21"/>
      <c r="D105" s="186" t="s">
        <v>143</v>
      </c>
      <c r="E105" s="161"/>
      <c r="F105" s="161"/>
      <c r="G105" s="161"/>
      <c r="H105" s="161"/>
      <c r="N105" s="184">
        <f>ROUNDUP($N$88*$T$105,2)</f>
        <v>0</v>
      </c>
      <c r="O105" s="161"/>
      <c r="P105" s="161"/>
      <c r="Q105" s="161"/>
      <c r="R105" s="22"/>
      <c r="T105" s="101"/>
      <c r="U105" s="102" t="s">
        <v>42</v>
      </c>
      <c r="AY105" s="6" t="s">
        <v>140</v>
      </c>
      <c r="BE105" s="82">
        <f>IF($U$105="základní",$N$105,0)</f>
        <v>0</v>
      </c>
      <c r="BF105" s="82">
        <f>IF($U$105="snížená",$N$105,0)</f>
        <v>0</v>
      </c>
      <c r="BG105" s="82">
        <f>IF($U$105="zákl. přenesená",$N$105,0)</f>
        <v>0</v>
      </c>
      <c r="BH105" s="82">
        <f>IF($U$105="sníž. přenesená",$N$105,0)</f>
        <v>0</v>
      </c>
      <c r="BI105" s="82">
        <f>IF($U$105="nulová",$N$105,0)</f>
        <v>0</v>
      </c>
      <c r="BJ105" s="6" t="s">
        <v>141</v>
      </c>
    </row>
    <row r="106" spans="2:62" s="6" customFormat="1" ht="18.75" customHeight="1">
      <c r="B106" s="21"/>
      <c r="D106" s="186" t="s">
        <v>144</v>
      </c>
      <c r="E106" s="161"/>
      <c r="F106" s="161"/>
      <c r="G106" s="161"/>
      <c r="H106" s="161"/>
      <c r="N106" s="184">
        <f>ROUNDUP($N$88*$T$106,2)</f>
        <v>0</v>
      </c>
      <c r="O106" s="161"/>
      <c r="P106" s="161"/>
      <c r="Q106" s="161"/>
      <c r="R106" s="22"/>
      <c r="T106" s="101"/>
      <c r="U106" s="102" t="s">
        <v>42</v>
      </c>
      <c r="AY106" s="6" t="s">
        <v>140</v>
      </c>
      <c r="BE106" s="82">
        <f>IF($U$106="základní",$N$106,0)</f>
        <v>0</v>
      </c>
      <c r="BF106" s="82">
        <f>IF($U$106="snížená",$N$106,0)</f>
        <v>0</v>
      </c>
      <c r="BG106" s="82">
        <f>IF($U$106="zákl. přenesená",$N$106,0)</f>
        <v>0</v>
      </c>
      <c r="BH106" s="82">
        <f>IF($U$106="sníž. přenesená",$N$106,0)</f>
        <v>0</v>
      </c>
      <c r="BI106" s="82">
        <f>IF($U$106="nulová",$N$106,0)</f>
        <v>0</v>
      </c>
      <c r="BJ106" s="6" t="s">
        <v>141</v>
      </c>
    </row>
    <row r="107" spans="2:62" s="6" customFormat="1" ht="18.75" customHeight="1">
      <c r="B107" s="21"/>
      <c r="D107" s="186" t="s">
        <v>145</v>
      </c>
      <c r="E107" s="161"/>
      <c r="F107" s="161"/>
      <c r="G107" s="161"/>
      <c r="H107" s="161"/>
      <c r="N107" s="184">
        <f>ROUNDUP($N$88*$T$107,2)</f>
        <v>0</v>
      </c>
      <c r="O107" s="161"/>
      <c r="P107" s="161"/>
      <c r="Q107" s="161"/>
      <c r="R107" s="22"/>
      <c r="T107" s="101"/>
      <c r="U107" s="102" t="s">
        <v>42</v>
      </c>
      <c r="AY107" s="6" t="s">
        <v>140</v>
      </c>
      <c r="BE107" s="82">
        <f>IF($U$107="základní",$N$107,0)</f>
        <v>0</v>
      </c>
      <c r="BF107" s="82">
        <f>IF($U$107="snížená",$N$107,0)</f>
        <v>0</v>
      </c>
      <c r="BG107" s="82">
        <f>IF($U$107="zákl. přenesená",$N$107,0)</f>
        <v>0</v>
      </c>
      <c r="BH107" s="82">
        <f>IF($U$107="sníž. přenesená",$N$107,0)</f>
        <v>0</v>
      </c>
      <c r="BI107" s="82">
        <f>IF($U$107="nulová",$N$107,0)</f>
        <v>0</v>
      </c>
      <c r="BJ107" s="6" t="s">
        <v>141</v>
      </c>
    </row>
    <row r="108" spans="2:62" s="6" customFormat="1" ht="18.75" customHeight="1">
      <c r="B108" s="21"/>
      <c r="D108" s="78" t="s">
        <v>146</v>
      </c>
      <c r="N108" s="184">
        <f>ROUNDUP($N$88*$T$108,2)</f>
        <v>0</v>
      </c>
      <c r="O108" s="161"/>
      <c r="P108" s="161"/>
      <c r="Q108" s="161"/>
      <c r="R108" s="22"/>
      <c r="T108" s="103"/>
      <c r="U108" s="104" t="s">
        <v>42</v>
      </c>
      <c r="AY108" s="6" t="s">
        <v>147</v>
      </c>
      <c r="BE108" s="82">
        <f>IF($U$108="základní",$N$108,0)</f>
        <v>0</v>
      </c>
      <c r="BF108" s="82">
        <f>IF($U$108="snížená",$N$108,0)</f>
        <v>0</v>
      </c>
      <c r="BG108" s="82">
        <f>IF($U$108="zákl. přenesená",$N$108,0)</f>
        <v>0</v>
      </c>
      <c r="BH108" s="82">
        <f>IF($U$108="sníž. přenesená",$N$108,0)</f>
        <v>0</v>
      </c>
      <c r="BI108" s="82">
        <f>IF($U$108="nulová",$N$108,0)</f>
        <v>0</v>
      </c>
      <c r="BJ108" s="6" t="s">
        <v>141</v>
      </c>
    </row>
    <row r="109" spans="2:18" s="6" customFormat="1" ht="14.25" customHeight="1">
      <c r="B109" s="21"/>
      <c r="R109" s="22"/>
    </row>
    <row r="110" spans="2:18" s="6" customFormat="1" ht="30" customHeight="1">
      <c r="B110" s="21"/>
      <c r="C110" s="89" t="s">
        <v>115</v>
      </c>
      <c r="D110" s="30"/>
      <c r="E110" s="30"/>
      <c r="F110" s="30"/>
      <c r="G110" s="30"/>
      <c r="H110" s="30"/>
      <c r="I110" s="30"/>
      <c r="J110" s="30"/>
      <c r="K110" s="30"/>
      <c r="L110" s="189">
        <f>ROUNDUP(SUM($N$88+$N$102),2)</f>
        <v>0</v>
      </c>
      <c r="M110" s="190"/>
      <c r="N110" s="190"/>
      <c r="O110" s="190"/>
      <c r="P110" s="190"/>
      <c r="Q110" s="190"/>
      <c r="R110" s="22"/>
    </row>
    <row r="111" spans="2:18" s="6" customFormat="1" ht="7.5" customHeight="1"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5"/>
    </row>
    <row r="115" spans="2:18" s="6" customFormat="1" ht="7.5" customHeight="1"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8"/>
    </row>
    <row r="116" spans="2:18" s="6" customFormat="1" ht="37.5" customHeight="1">
      <c r="B116" s="21"/>
      <c r="C116" s="159" t="s">
        <v>148</v>
      </c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22"/>
    </row>
    <row r="117" spans="2:18" s="6" customFormat="1" ht="7.5" customHeight="1">
      <c r="B117" s="21"/>
      <c r="R117" s="22"/>
    </row>
    <row r="118" spans="2:18" s="6" customFormat="1" ht="15" customHeight="1">
      <c r="B118" s="21"/>
      <c r="C118" s="15" t="s">
        <v>14</v>
      </c>
      <c r="F118" s="192" t="str">
        <f>$F$6</f>
        <v>1327 - Stavební úpravy stávajícího objektu - rozdělení sklepních kójí</v>
      </c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R118" s="22"/>
    </row>
    <row r="119" spans="2:18" s="6" customFormat="1" ht="15" customHeight="1">
      <c r="B119" s="21"/>
      <c r="C119" s="14" t="s">
        <v>118</v>
      </c>
      <c r="F119" s="163" t="str">
        <f>$F$7</f>
        <v>1327 c - Sklepní kóje čp. 639</v>
      </c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R119" s="22"/>
    </row>
    <row r="120" spans="2:18" s="6" customFormat="1" ht="7.5" customHeight="1">
      <c r="B120" s="21"/>
      <c r="R120" s="22"/>
    </row>
    <row r="121" spans="2:18" s="6" customFormat="1" ht="18.75" customHeight="1">
      <c r="B121" s="21"/>
      <c r="C121" s="15" t="s">
        <v>18</v>
      </c>
      <c r="F121" s="16" t="str">
        <f>$F$9</f>
        <v>Kolín II, Benešova čp. 636 - 641</v>
      </c>
      <c r="K121" s="15" t="s">
        <v>20</v>
      </c>
      <c r="M121" s="197" t="str">
        <f>IF($O$9="","",$O$9)</f>
        <v>08.07.2013</v>
      </c>
      <c r="N121" s="161"/>
      <c r="O121" s="161"/>
      <c r="P121" s="161"/>
      <c r="R121" s="22"/>
    </row>
    <row r="122" spans="2:18" s="6" customFormat="1" ht="7.5" customHeight="1">
      <c r="B122" s="21"/>
      <c r="R122" s="22"/>
    </row>
    <row r="123" spans="2:18" s="6" customFormat="1" ht="15.75" customHeight="1">
      <c r="B123" s="21"/>
      <c r="C123" s="15" t="s">
        <v>24</v>
      </c>
      <c r="F123" s="16" t="str">
        <f>$E$12</f>
        <v>Město Kolín, Karlovo náměstí 78, 280 02 Kolín 1</v>
      </c>
      <c r="K123" s="15" t="s">
        <v>30</v>
      </c>
      <c r="M123" s="174" t="str">
        <f>$E$18</f>
        <v>Ing. Karel Vrátný, Rubešova 60, 280 02 Kolín</v>
      </c>
      <c r="N123" s="161"/>
      <c r="O123" s="161"/>
      <c r="P123" s="161"/>
      <c r="Q123" s="161"/>
      <c r="R123" s="22"/>
    </row>
    <row r="124" spans="2:18" s="6" customFormat="1" ht="15" customHeight="1">
      <c r="B124" s="21"/>
      <c r="C124" s="15" t="s">
        <v>28</v>
      </c>
      <c r="F124" s="16" t="str">
        <f>IF($E$15="","",$E$15)</f>
        <v>Vyplň údaj</v>
      </c>
      <c r="K124" s="15" t="s">
        <v>33</v>
      </c>
      <c r="M124" s="174" t="str">
        <f>$E$21</f>
        <v>Ing. Karel Vrátný, Rubešova 60, 280 02 Kolín</v>
      </c>
      <c r="N124" s="161"/>
      <c r="O124" s="161"/>
      <c r="P124" s="161"/>
      <c r="Q124" s="161"/>
      <c r="R124" s="22"/>
    </row>
    <row r="125" spans="2:18" s="6" customFormat="1" ht="11.25" customHeight="1">
      <c r="B125" s="21"/>
      <c r="R125" s="22"/>
    </row>
    <row r="126" spans="2:27" s="105" customFormat="1" ht="30" customHeight="1">
      <c r="B126" s="106"/>
      <c r="C126" s="107" t="s">
        <v>149</v>
      </c>
      <c r="D126" s="108" t="s">
        <v>150</v>
      </c>
      <c r="E126" s="108" t="s">
        <v>57</v>
      </c>
      <c r="F126" s="202" t="s">
        <v>151</v>
      </c>
      <c r="G126" s="203"/>
      <c r="H126" s="203"/>
      <c r="I126" s="203"/>
      <c r="J126" s="108" t="s">
        <v>152</v>
      </c>
      <c r="K126" s="108" t="s">
        <v>153</v>
      </c>
      <c r="L126" s="202" t="s">
        <v>154</v>
      </c>
      <c r="M126" s="203"/>
      <c r="N126" s="202" t="s">
        <v>155</v>
      </c>
      <c r="O126" s="203"/>
      <c r="P126" s="203"/>
      <c r="Q126" s="204"/>
      <c r="R126" s="109"/>
      <c r="T126" s="55" t="s">
        <v>156</v>
      </c>
      <c r="U126" s="56" t="s">
        <v>39</v>
      </c>
      <c r="V126" s="56" t="s">
        <v>157</v>
      </c>
      <c r="W126" s="56" t="s">
        <v>158</v>
      </c>
      <c r="X126" s="56" t="s">
        <v>159</v>
      </c>
      <c r="Y126" s="56" t="s">
        <v>160</v>
      </c>
      <c r="Z126" s="56" t="s">
        <v>161</v>
      </c>
      <c r="AA126" s="57" t="s">
        <v>162</v>
      </c>
    </row>
    <row r="127" spans="2:63" s="6" customFormat="1" ht="30" customHeight="1">
      <c r="B127" s="21"/>
      <c r="C127" s="60" t="s">
        <v>120</v>
      </c>
      <c r="N127" s="221">
        <f>$BK$127</f>
        <v>0</v>
      </c>
      <c r="O127" s="161"/>
      <c r="P127" s="161"/>
      <c r="Q127" s="161"/>
      <c r="R127" s="22"/>
      <c r="T127" s="59"/>
      <c r="U127" s="35"/>
      <c r="V127" s="35"/>
      <c r="W127" s="110">
        <f>$W$128+$W$165+$W$208</f>
        <v>379.852335</v>
      </c>
      <c r="X127" s="35"/>
      <c r="Y127" s="110">
        <f>$Y$128+$Y$165+$Y$208</f>
        <v>7.395072819999999</v>
      </c>
      <c r="Z127" s="35"/>
      <c r="AA127" s="111">
        <f>$AA$128+$AA$165+$AA$208</f>
        <v>16.01391975</v>
      </c>
      <c r="AT127" s="6" t="s">
        <v>74</v>
      </c>
      <c r="AU127" s="6" t="s">
        <v>125</v>
      </c>
      <c r="BK127" s="112">
        <f>$BK$128+$BK$165+$BK$208</f>
        <v>0</v>
      </c>
    </row>
    <row r="128" spans="2:63" s="113" customFormat="1" ht="37.5" customHeight="1">
      <c r="B128" s="114"/>
      <c r="D128" s="115" t="s">
        <v>126</v>
      </c>
      <c r="N128" s="201">
        <f>$BK$128</f>
        <v>0</v>
      </c>
      <c r="O128" s="222"/>
      <c r="P128" s="222"/>
      <c r="Q128" s="222"/>
      <c r="R128" s="117"/>
      <c r="T128" s="118"/>
      <c r="W128" s="119">
        <f>$W$129+$W$135+$W$143</f>
        <v>253.094077</v>
      </c>
      <c r="Y128" s="119">
        <f>$Y$129+$Y$135+$Y$143</f>
        <v>6.942421489999999</v>
      </c>
      <c r="AA128" s="120">
        <f>$AA$129+$AA$135+$AA$143</f>
        <v>15.55489</v>
      </c>
      <c r="AR128" s="116" t="s">
        <v>17</v>
      </c>
      <c r="AT128" s="116" t="s">
        <v>74</v>
      </c>
      <c r="AU128" s="116" t="s">
        <v>75</v>
      </c>
      <c r="AY128" s="116" t="s">
        <v>163</v>
      </c>
      <c r="BK128" s="121">
        <f>$BK$129+$BK$135+$BK$143</f>
        <v>0</v>
      </c>
    </row>
    <row r="129" spans="2:63" s="113" customFormat="1" ht="21" customHeight="1">
      <c r="B129" s="114"/>
      <c r="D129" s="122" t="s">
        <v>127</v>
      </c>
      <c r="N129" s="223">
        <f>$BK$129</f>
        <v>0</v>
      </c>
      <c r="O129" s="222"/>
      <c r="P129" s="222"/>
      <c r="Q129" s="222"/>
      <c r="R129" s="117"/>
      <c r="T129" s="118"/>
      <c r="W129" s="119">
        <f>SUM($W$130:$W$134)</f>
        <v>23.712325</v>
      </c>
      <c r="Y129" s="119">
        <f>SUM($Y$130:$Y$134)</f>
        <v>2.7143224599999995</v>
      </c>
      <c r="AA129" s="120">
        <f>SUM($AA$130:$AA$134)</f>
        <v>0</v>
      </c>
      <c r="AR129" s="116" t="s">
        <v>17</v>
      </c>
      <c r="AT129" s="116" t="s">
        <v>74</v>
      </c>
      <c r="AU129" s="116" t="s">
        <v>17</v>
      </c>
      <c r="AY129" s="116" t="s">
        <v>163</v>
      </c>
      <c r="BK129" s="121">
        <f>SUM($BK$130:$BK$134)</f>
        <v>0</v>
      </c>
    </row>
    <row r="130" spans="2:64" s="6" customFormat="1" ht="39" customHeight="1">
      <c r="B130" s="21"/>
      <c r="C130" s="123" t="s">
        <v>17</v>
      </c>
      <c r="D130" s="123" t="s">
        <v>164</v>
      </c>
      <c r="E130" s="124" t="s">
        <v>165</v>
      </c>
      <c r="F130" s="205" t="s">
        <v>166</v>
      </c>
      <c r="G130" s="206"/>
      <c r="H130" s="206"/>
      <c r="I130" s="206"/>
      <c r="J130" s="125" t="s">
        <v>167</v>
      </c>
      <c r="K130" s="126">
        <v>7</v>
      </c>
      <c r="L130" s="207">
        <v>0</v>
      </c>
      <c r="M130" s="206"/>
      <c r="N130" s="208">
        <f>ROUND($L$130*$K$130,2)</f>
        <v>0</v>
      </c>
      <c r="O130" s="206"/>
      <c r="P130" s="206"/>
      <c r="Q130" s="206"/>
      <c r="R130" s="22"/>
      <c r="T130" s="127"/>
      <c r="U130" s="28" t="s">
        <v>42</v>
      </c>
      <c r="V130" s="128">
        <v>0.196</v>
      </c>
      <c r="W130" s="128">
        <f>$V$130*$K$130</f>
        <v>1.372</v>
      </c>
      <c r="X130" s="128">
        <v>0.02684</v>
      </c>
      <c r="Y130" s="128">
        <f>$X$130*$K$130</f>
        <v>0.18788</v>
      </c>
      <c r="Z130" s="128">
        <v>0</v>
      </c>
      <c r="AA130" s="129">
        <f>$Z$130*$K$130</f>
        <v>0</v>
      </c>
      <c r="AR130" s="6" t="s">
        <v>168</v>
      </c>
      <c r="AT130" s="6" t="s">
        <v>164</v>
      </c>
      <c r="AU130" s="6" t="s">
        <v>141</v>
      </c>
      <c r="AY130" s="6" t="s">
        <v>163</v>
      </c>
      <c r="BE130" s="82">
        <f>IF($U$130="základní",$N$130,0)</f>
        <v>0</v>
      </c>
      <c r="BF130" s="82">
        <f>IF($U$130="snížená",$N$130,0)</f>
        <v>0</v>
      </c>
      <c r="BG130" s="82">
        <f>IF($U$130="zákl. přenesená",$N$130,0)</f>
        <v>0</v>
      </c>
      <c r="BH130" s="82">
        <f>IF($U$130="sníž. přenesená",$N$130,0)</f>
        <v>0</v>
      </c>
      <c r="BI130" s="82">
        <f>IF($U$130="nulová",$N$130,0)</f>
        <v>0</v>
      </c>
      <c r="BJ130" s="6" t="s">
        <v>141</v>
      </c>
      <c r="BK130" s="82">
        <f>ROUND($L$130*$K$130,2)</f>
        <v>0</v>
      </c>
      <c r="BL130" s="6" t="s">
        <v>168</v>
      </c>
    </row>
    <row r="131" spans="2:64" s="6" customFormat="1" ht="39" customHeight="1">
      <c r="B131" s="21"/>
      <c r="C131" s="123" t="s">
        <v>141</v>
      </c>
      <c r="D131" s="123" t="s">
        <v>164</v>
      </c>
      <c r="E131" s="124" t="s">
        <v>169</v>
      </c>
      <c r="F131" s="205" t="s">
        <v>170</v>
      </c>
      <c r="G131" s="206"/>
      <c r="H131" s="206"/>
      <c r="I131" s="206"/>
      <c r="J131" s="125" t="s">
        <v>171</v>
      </c>
      <c r="K131" s="126">
        <v>36.153</v>
      </c>
      <c r="L131" s="207">
        <v>0</v>
      </c>
      <c r="M131" s="206"/>
      <c r="N131" s="208">
        <f>ROUND($L$131*$K$131,2)</f>
        <v>0</v>
      </c>
      <c r="O131" s="206"/>
      <c r="P131" s="206"/>
      <c r="Q131" s="206"/>
      <c r="R131" s="22"/>
      <c r="T131" s="127"/>
      <c r="U131" s="28" t="s">
        <v>42</v>
      </c>
      <c r="V131" s="128">
        <v>0.525</v>
      </c>
      <c r="W131" s="128">
        <f>$V$131*$K$131</f>
        <v>18.980325</v>
      </c>
      <c r="X131" s="128">
        <v>0.06982</v>
      </c>
      <c r="Y131" s="128">
        <f>$X$131*$K$131</f>
        <v>2.5242024599999997</v>
      </c>
      <c r="Z131" s="128">
        <v>0</v>
      </c>
      <c r="AA131" s="129">
        <f>$Z$131*$K$131</f>
        <v>0</v>
      </c>
      <c r="AR131" s="6" t="s">
        <v>168</v>
      </c>
      <c r="AT131" s="6" t="s">
        <v>164</v>
      </c>
      <c r="AU131" s="6" t="s">
        <v>141</v>
      </c>
      <c r="AY131" s="6" t="s">
        <v>163</v>
      </c>
      <c r="BE131" s="82">
        <f>IF($U$131="základní",$N$131,0)</f>
        <v>0</v>
      </c>
      <c r="BF131" s="82">
        <f>IF($U$131="snížená",$N$131,0)</f>
        <v>0</v>
      </c>
      <c r="BG131" s="82">
        <f>IF($U$131="zákl. přenesená",$N$131,0)</f>
        <v>0</v>
      </c>
      <c r="BH131" s="82">
        <f>IF($U$131="sníž. přenesená",$N$131,0)</f>
        <v>0</v>
      </c>
      <c r="BI131" s="82">
        <f>IF($U$131="nulová",$N$131,0)</f>
        <v>0</v>
      </c>
      <c r="BJ131" s="6" t="s">
        <v>141</v>
      </c>
      <c r="BK131" s="82">
        <f>ROUND($L$131*$K$131,2)</f>
        <v>0</v>
      </c>
      <c r="BL131" s="6" t="s">
        <v>168</v>
      </c>
    </row>
    <row r="132" spans="2:51" s="6" customFormat="1" ht="27" customHeight="1">
      <c r="B132" s="130"/>
      <c r="E132" s="131"/>
      <c r="F132" s="209" t="s">
        <v>343</v>
      </c>
      <c r="G132" s="210"/>
      <c r="H132" s="210"/>
      <c r="I132" s="210"/>
      <c r="K132" s="132">
        <v>36.153</v>
      </c>
      <c r="R132" s="133"/>
      <c r="T132" s="134"/>
      <c r="AA132" s="135"/>
      <c r="AT132" s="131" t="s">
        <v>173</v>
      </c>
      <c r="AU132" s="131" t="s">
        <v>141</v>
      </c>
      <c r="AV132" s="131" t="s">
        <v>141</v>
      </c>
      <c r="AW132" s="131" t="s">
        <v>125</v>
      </c>
      <c r="AX132" s="131" t="s">
        <v>17</v>
      </c>
      <c r="AY132" s="131" t="s">
        <v>163</v>
      </c>
    </row>
    <row r="133" spans="2:64" s="6" customFormat="1" ht="27" customHeight="1">
      <c r="B133" s="21"/>
      <c r="C133" s="123" t="s">
        <v>174</v>
      </c>
      <c r="D133" s="123" t="s">
        <v>164</v>
      </c>
      <c r="E133" s="124" t="s">
        <v>175</v>
      </c>
      <c r="F133" s="205" t="s">
        <v>176</v>
      </c>
      <c r="G133" s="206"/>
      <c r="H133" s="206"/>
      <c r="I133" s="206"/>
      <c r="J133" s="125" t="s">
        <v>177</v>
      </c>
      <c r="K133" s="126">
        <v>28</v>
      </c>
      <c r="L133" s="207">
        <v>0</v>
      </c>
      <c r="M133" s="206"/>
      <c r="N133" s="208">
        <f>ROUND($L$133*$K$133,2)</f>
        <v>0</v>
      </c>
      <c r="O133" s="206"/>
      <c r="P133" s="206"/>
      <c r="Q133" s="206"/>
      <c r="R133" s="22"/>
      <c r="T133" s="127"/>
      <c r="U133" s="28" t="s">
        <v>42</v>
      </c>
      <c r="V133" s="128">
        <v>0.12</v>
      </c>
      <c r="W133" s="128">
        <f>$V$133*$K$133</f>
        <v>3.36</v>
      </c>
      <c r="X133" s="128">
        <v>8E-05</v>
      </c>
      <c r="Y133" s="128">
        <f>$X$133*$K$133</f>
        <v>0.0022400000000000002</v>
      </c>
      <c r="Z133" s="128">
        <v>0</v>
      </c>
      <c r="AA133" s="129">
        <f>$Z$133*$K$133</f>
        <v>0</v>
      </c>
      <c r="AR133" s="6" t="s">
        <v>168</v>
      </c>
      <c r="AT133" s="6" t="s">
        <v>164</v>
      </c>
      <c r="AU133" s="6" t="s">
        <v>141</v>
      </c>
      <c r="AY133" s="6" t="s">
        <v>163</v>
      </c>
      <c r="BE133" s="82">
        <f>IF($U$133="základní",$N$133,0)</f>
        <v>0</v>
      </c>
      <c r="BF133" s="82">
        <f>IF($U$133="snížená",$N$133,0)</f>
        <v>0</v>
      </c>
      <c r="BG133" s="82">
        <f>IF($U$133="zákl. přenesená",$N$133,0)</f>
        <v>0</v>
      </c>
      <c r="BH133" s="82">
        <f>IF($U$133="sníž. přenesená",$N$133,0)</f>
        <v>0</v>
      </c>
      <c r="BI133" s="82">
        <f>IF($U$133="nulová",$N$133,0)</f>
        <v>0</v>
      </c>
      <c r="BJ133" s="6" t="s">
        <v>141</v>
      </c>
      <c r="BK133" s="82">
        <f>ROUND($L$133*$K$133,2)</f>
        <v>0</v>
      </c>
      <c r="BL133" s="6" t="s">
        <v>168</v>
      </c>
    </row>
    <row r="134" spans="2:51" s="6" customFormat="1" ht="15.75" customHeight="1">
      <c r="B134" s="130"/>
      <c r="E134" s="131"/>
      <c r="F134" s="209" t="s">
        <v>344</v>
      </c>
      <c r="G134" s="210"/>
      <c r="H134" s="210"/>
      <c r="I134" s="210"/>
      <c r="K134" s="132">
        <v>28</v>
      </c>
      <c r="R134" s="133"/>
      <c r="T134" s="134"/>
      <c r="AA134" s="135"/>
      <c r="AT134" s="131" t="s">
        <v>173</v>
      </c>
      <c r="AU134" s="131" t="s">
        <v>141</v>
      </c>
      <c r="AV134" s="131" t="s">
        <v>141</v>
      </c>
      <c r="AW134" s="131" t="s">
        <v>125</v>
      </c>
      <c r="AX134" s="131" t="s">
        <v>17</v>
      </c>
      <c r="AY134" s="131" t="s">
        <v>163</v>
      </c>
    </row>
    <row r="135" spans="2:63" s="113" customFormat="1" ht="30.75" customHeight="1">
      <c r="B135" s="114"/>
      <c r="D135" s="122" t="s">
        <v>128</v>
      </c>
      <c r="N135" s="223">
        <f>$BK$135</f>
        <v>0</v>
      </c>
      <c r="O135" s="222"/>
      <c r="P135" s="222"/>
      <c r="Q135" s="222"/>
      <c r="R135" s="117"/>
      <c r="T135" s="118"/>
      <c r="W135" s="119">
        <f>SUM($W$136:$W$142)</f>
        <v>120.20102</v>
      </c>
      <c r="Y135" s="119">
        <f>SUM($Y$136:$Y$142)</f>
        <v>4.2228197100000004</v>
      </c>
      <c r="AA135" s="120">
        <f>SUM($AA$136:$AA$142)</f>
        <v>0</v>
      </c>
      <c r="AR135" s="116" t="s">
        <v>17</v>
      </c>
      <c r="AT135" s="116" t="s">
        <v>74</v>
      </c>
      <c r="AU135" s="116" t="s">
        <v>17</v>
      </c>
      <c r="AY135" s="116" t="s">
        <v>163</v>
      </c>
      <c r="BK135" s="121">
        <f>SUM($BK$136:$BK$142)</f>
        <v>0</v>
      </c>
    </row>
    <row r="136" spans="2:64" s="6" customFormat="1" ht="27" customHeight="1">
      <c r="B136" s="21"/>
      <c r="C136" s="123" t="s">
        <v>168</v>
      </c>
      <c r="D136" s="123" t="s">
        <v>164</v>
      </c>
      <c r="E136" s="124" t="s">
        <v>345</v>
      </c>
      <c r="F136" s="205" t="s">
        <v>346</v>
      </c>
      <c r="G136" s="206"/>
      <c r="H136" s="206"/>
      <c r="I136" s="206"/>
      <c r="J136" s="125" t="s">
        <v>171</v>
      </c>
      <c r="K136" s="126">
        <v>40.08</v>
      </c>
      <c r="L136" s="207">
        <v>0</v>
      </c>
      <c r="M136" s="206"/>
      <c r="N136" s="208">
        <f>ROUND($L$136*$K$136,2)</f>
        <v>0</v>
      </c>
      <c r="O136" s="206"/>
      <c r="P136" s="206"/>
      <c r="Q136" s="206"/>
      <c r="R136" s="22"/>
      <c r="T136" s="127"/>
      <c r="U136" s="28" t="s">
        <v>42</v>
      </c>
      <c r="V136" s="128">
        <v>0.56</v>
      </c>
      <c r="W136" s="128">
        <f>$V$136*$K$136</f>
        <v>22.4448</v>
      </c>
      <c r="X136" s="128">
        <v>0.01733</v>
      </c>
      <c r="Y136" s="128">
        <f>$X$136*$K$136</f>
        <v>0.6945864</v>
      </c>
      <c r="Z136" s="128">
        <v>0</v>
      </c>
      <c r="AA136" s="129">
        <f>$Z$136*$K$136</f>
        <v>0</v>
      </c>
      <c r="AR136" s="6" t="s">
        <v>168</v>
      </c>
      <c r="AT136" s="6" t="s">
        <v>164</v>
      </c>
      <c r="AU136" s="6" t="s">
        <v>141</v>
      </c>
      <c r="AY136" s="6" t="s">
        <v>163</v>
      </c>
      <c r="BE136" s="82">
        <f>IF($U$136="základní",$N$136,0)</f>
        <v>0</v>
      </c>
      <c r="BF136" s="82">
        <f>IF($U$136="snížená",$N$136,0)</f>
        <v>0</v>
      </c>
      <c r="BG136" s="82">
        <f>IF($U$136="zákl. přenesená",$N$136,0)</f>
        <v>0</v>
      </c>
      <c r="BH136" s="82">
        <f>IF($U$136="sníž. přenesená",$N$136,0)</f>
        <v>0</v>
      </c>
      <c r="BI136" s="82">
        <f>IF($U$136="nulová",$N$136,0)</f>
        <v>0</v>
      </c>
      <c r="BJ136" s="6" t="s">
        <v>141</v>
      </c>
      <c r="BK136" s="82">
        <f>ROUND($L$136*$K$136,2)</f>
        <v>0</v>
      </c>
      <c r="BL136" s="6" t="s">
        <v>168</v>
      </c>
    </row>
    <row r="137" spans="2:64" s="6" customFormat="1" ht="27" customHeight="1">
      <c r="B137" s="21"/>
      <c r="C137" s="123" t="s">
        <v>182</v>
      </c>
      <c r="D137" s="123" t="s">
        <v>164</v>
      </c>
      <c r="E137" s="124" t="s">
        <v>179</v>
      </c>
      <c r="F137" s="205" t="s">
        <v>180</v>
      </c>
      <c r="G137" s="206"/>
      <c r="H137" s="206"/>
      <c r="I137" s="206"/>
      <c r="J137" s="125" t="s">
        <v>171</v>
      </c>
      <c r="K137" s="126">
        <v>180.407</v>
      </c>
      <c r="L137" s="207">
        <v>0</v>
      </c>
      <c r="M137" s="206"/>
      <c r="N137" s="208">
        <f>ROUND($L$137*$K$137,2)</f>
        <v>0</v>
      </c>
      <c r="O137" s="206"/>
      <c r="P137" s="206"/>
      <c r="Q137" s="206"/>
      <c r="R137" s="22"/>
      <c r="T137" s="127"/>
      <c r="U137" s="28" t="s">
        <v>42</v>
      </c>
      <c r="V137" s="128">
        <v>0.46</v>
      </c>
      <c r="W137" s="128">
        <f>$V$137*$K$137</f>
        <v>82.98722000000001</v>
      </c>
      <c r="X137" s="128">
        <v>0.01733</v>
      </c>
      <c r="Y137" s="128">
        <f>$X$137*$K$137</f>
        <v>3.1264533100000005</v>
      </c>
      <c r="Z137" s="128">
        <v>0</v>
      </c>
      <c r="AA137" s="129">
        <f>$Z$137*$K$137</f>
        <v>0</v>
      </c>
      <c r="AR137" s="6" t="s">
        <v>168</v>
      </c>
      <c r="AT137" s="6" t="s">
        <v>164</v>
      </c>
      <c r="AU137" s="6" t="s">
        <v>141</v>
      </c>
      <c r="AY137" s="6" t="s">
        <v>163</v>
      </c>
      <c r="BE137" s="82">
        <f>IF($U$137="základní",$N$137,0)</f>
        <v>0</v>
      </c>
      <c r="BF137" s="82">
        <f>IF($U$137="snížená",$N$137,0)</f>
        <v>0</v>
      </c>
      <c r="BG137" s="82">
        <f>IF($U$137="zákl. přenesená",$N$137,0)</f>
        <v>0</v>
      </c>
      <c r="BH137" s="82">
        <f>IF($U$137="sníž. přenesená",$N$137,0)</f>
        <v>0</v>
      </c>
      <c r="BI137" s="82">
        <f>IF($U$137="nulová",$N$137,0)</f>
        <v>0</v>
      </c>
      <c r="BJ137" s="6" t="s">
        <v>141</v>
      </c>
      <c r="BK137" s="82">
        <f>ROUND($L$137*$K$137,2)</f>
        <v>0</v>
      </c>
      <c r="BL137" s="6" t="s">
        <v>168</v>
      </c>
    </row>
    <row r="138" spans="2:51" s="6" customFormat="1" ht="39" customHeight="1">
      <c r="B138" s="130"/>
      <c r="E138" s="131"/>
      <c r="F138" s="209" t="s">
        <v>347</v>
      </c>
      <c r="G138" s="210"/>
      <c r="H138" s="210"/>
      <c r="I138" s="210"/>
      <c r="K138" s="132">
        <v>180.407</v>
      </c>
      <c r="R138" s="133"/>
      <c r="T138" s="134"/>
      <c r="AA138" s="135"/>
      <c r="AT138" s="131" t="s">
        <v>173</v>
      </c>
      <c r="AU138" s="131" t="s">
        <v>141</v>
      </c>
      <c r="AV138" s="131" t="s">
        <v>141</v>
      </c>
      <c r="AW138" s="131" t="s">
        <v>125</v>
      </c>
      <c r="AX138" s="131" t="s">
        <v>17</v>
      </c>
      <c r="AY138" s="131" t="s">
        <v>163</v>
      </c>
    </row>
    <row r="139" spans="2:64" s="6" customFormat="1" ht="15.75" customHeight="1">
      <c r="B139" s="21"/>
      <c r="C139" s="123" t="s">
        <v>186</v>
      </c>
      <c r="D139" s="123" t="s">
        <v>164</v>
      </c>
      <c r="E139" s="124" t="s">
        <v>187</v>
      </c>
      <c r="F139" s="205" t="s">
        <v>188</v>
      </c>
      <c r="G139" s="206"/>
      <c r="H139" s="206"/>
      <c r="I139" s="206"/>
      <c r="J139" s="125" t="s">
        <v>167</v>
      </c>
      <c r="K139" s="126">
        <v>7</v>
      </c>
      <c r="L139" s="207">
        <v>0</v>
      </c>
      <c r="M139" s="206"/>
      <c r="N139" s="208">
        <f>ROUND($L$139*$K$139,2)</f>
        <v>0</v>
      </c>
      <c r="O139" s="206"/>
      <c r="P139" s="206"/>
      <c r="Q139" s="206"/>
      <c r="R139" s="22"/>
      <c r="T139" s="127"/>
      <c r="U139" s="28" t="s">
        <v>42</v>
      </c>
      <c r="V139" s="128">
        <v>1.607</v>
      </c>
      <c r="W139" s="128">
        <f>$V$139*$K$139</f>
        <v>11.249</v>
      </c>
      <c r="X139" s="128">
        <v>0.04634</v>
      </c>
      <c r="Y139" s="128">
        <f>$X$139*$K$139</f>
        <v>0.32438</v>
      </c>
      <c r="Z139" s="128">
        <v>0</v>
      </c>
      <c r="AA139" s="129">
        <f>$Z$139*$K$139</f>
        <v>0</v>
      </c>
      <c r="AR139" s="6" t="s">
        <v>168</v>
      </c>
      <c r="AT139" s="6" t="s">
        <v>164</v>
      </c>
      <c r="AU139" s="6" t="s">
        <v>141</v>
      </c>
      <c r="AY139" s="6" t="s">
        <v>163</v>
      </c>
      <c r="BE139" s="82">
        <f>IF($U$139="základní",$N$139,0)</f>
        <v>0</v>
      </c>
      <c r="BF139" s="82">
        <f>IF($U$139="snížená",$N$139,0)</f>
        <v>0</v>
      </c>
      <c r="BG139" s="82">
        <f>IF($U$139="zákl. přenesená",$N$139,0)</f>
        <v>0</v>
      </c>
      <c r="BH139" s="82">
        <f>IF($U$139="sníž. přenesená",$N$139,0)</f>
        <v>0</v>
      </c>
      <c r="BI139" s="82">
        <f>IF($U$139="nulová",$N$139,0)</f>
        <v>0</v>
      </c>
      <c r="BJ139" s="6" t="s">
        <v>141</v>
      </c>
      <c r="BK139" s="82">
        <f>ROUND($L$139*$K$139,2)</f>
        <v>0</v>
      </c>
      <c r="BL139" s="6" t="s">
        <v>168</v>
      </c>
    </row>
    <row r="140" spans="2:64" s="6" customFormat="1" ht="15.75" customHeight="1">
      <c r="B140" s="21"/>
      <c r="C140" s="136" t="s">
        <v>189</v>
      </c>
      <c r="D140" s="136" t="s">
        <v>190</v>
      </c>
      <c r="E140" s="137" t="s">
        <v>191</v>
      </c>
      <c r="F140" s="211" t="s">
        <v>192</v>
      </c>
      <c r="G140" s="212"/>
      <c r="H140" s="212"/>
      <c r="I140" s="212"/>
      <c r="J140" s="138" t="s">
        <v>167</v>
      </c>
      <c r="K140" s="139">
        <v>6</v>
      </c>
      <c r="L140" s="213">
        <v>0</v>
      </c>
      <c r="M140" s="212"/>
      <c r="N140" s="214">
        <f>ROUND($L$140*$K$140,2)</f>
        <v>0</v>
      </c>
      <c r="O140" s="206"/>
      <c r="P140" s="206"/>
      <c r="Q140" s="206"/>
      <c r="R140" s="22"/>
      <c r="T140" s="127"/>
      <c r="U140" s="28" t="s">
        <v>42</v>
      </c>
      <c r="V140" s="128">
        <v>0</v>
      </c>
      <c r="W140" s="128">
        <f>$V$140*$K$140</f>
        <v>0</v>
      </c>
      <c r="X140" s="128">
        <v>0.011</v>
      </c>
      <c r="Y140" s="128">
        <f>$X$140*$K$140</f>
        <v>0.066</v>
      </c>
      <c r="Z140" s="128">
        <v>0</v>
      </c>
      <c r="AA140" s="129">
        <f>$Z$140*$K$140</f>
        <v>0</v>
      </c>
      <c r="AR140" s="6" t="s">
        <v>193</v>
      </c>
      <c r="AT140" s="6" t="s">
        <v>190</v>
      </c>
      <c r="AU140" s="6" t="s">
        <v>141</v>
      </c>
      <c r="AY140" s="6" t="s">
        <v>163</v>
      </c>
      <c r="BE140" s="82">
        <f>IF($U$140="základní",$N$140,0)</f>
        <v>0</v>
      </c>
      <c r="BF140" s="82">
        <f>IF($U$140="snížená",$N$140,0)</f>
        <v>0</v>
      </c>
      <c r="BG140" s="82">
        <f>IF($U$140="zákl. přenesená",$N$140,0)</f>
        <v>0</v>
      </c>
      <c r="BH140" s="82">
        <f>IF($U$140="sníž. přenesená",$N$140,0)</f>
        <v>0</v>
      </c>
      <c r="BI140" s="82">
        <f>IF($U$140="nulová",$N$140,0)</f>
        <v>0</v>
      </c>
      <c r="BJ140" s="6" t="s">
        <v>141</v>
      </c>
      <c r="BK140" s="82">
        <f>ROUND($L$140*$K$140,2)</f>
        <v>0</v>
      </c>
      <c r="BL140" s="6" t="s">
        <v>168</v>
      </c>
    </row>
    <row r="141" spans="2:64" s="6" customFormat="1" ht="15.75" customHeight="1">
      <c r="B141" s="21"/>
      <c r="C141" s="136" t="s">
        <v>193</v>
      </c>
      <c r="D141" s="136" t="s">
        <v>190</v>
      </c>
      <c r="E141" s="137" t="s">
        <v>194</v>
      </c>
      <c r="F141" s="211" t="s">
        <v>195</v>
      </c>
      <c r="G141" s="212"/>
      <c r="H141" s="212"/>
      <c r="I141" s="212"/>
      <c r="J141" s="138" t="s">
        <v>167</v>
      </c>
      <c r="K141" s="139">
        <v>1</v>
      </c>
      <c r="L141" s="213">
        <v>0</v>
      </c>
      <c r="M141" s="212"/>
      <c r="N141" s="214">
        <f>ROUND($L$141*$K$141,2)</f>
        <v>0</v>
      </c>
      <c r="O141" s="206"/>
      <c r="P141" s="206"/>
      <c r="Q141" s="206"/>
      <c r="R141" s="22"/>
      <c r="T141" s="127"/>
      <c r="U141" s="28" t="s">
        <v>42</v>
      </c>
      <c r="V141" s="128">
        <v>0</v>
      </c>
      <c r="W141" s="128">
        <f>$V$141*$K$141</f>
        <v>0</v>
      </c>
      <c r="X141" s="128">
        <v>0.0114</v>
      </c>
      <c r="Y141" s="128">
        <f>$X$141*$K$141</f>
        <v>0.0114</v>
      </c>
      <c r="Z141" s="128">
        <v>0</v>
      </c>
      <c r="AA141" s="129">
        <f>$Z$141*$K$141</f>
        <v>0</v>
      </c>
      <c r="AR141" s="6" t="s">
        <v>193</v>
      </c>
      <c r="AT141" s="6" t="s">
        <v>190</v>
      </c>
      <c r="AU141" s="6" t="s">
        <v>141</v>
      </c>
      <c r="AY141" s="6" t="s">
        <v>163</v>
      </c>
      <c r="BE141" s="82">
        <f>IF($U$141="základní",$N$141,0)</f>
        <v>0</v>
      </c>
      <c r="BF141" s="82">
        <f>IF($U$141="snížená",$N$141,0)</f>
        <v>0</v>
      </c>
      <c r="BG141" s="82">
        <f>IF($U$141="zákl. přenesená",$N$141,0)</f>
        <v>0</v>
      </c>
      <c r="BH141" s="82">
        <f>IF($U$141="sníž. přenesená",$N$141,0)</f>
        <v>0</v>
      </c>
      <c r="BI141" s="82">
        <f>IF($U$141="nulová",$N$141,0)</f>
        <v>0</v>
      </c>
      <c r="BJ141" s="6" t="s">
        <v>141</v>
      </c>
      <c r="BK141" s="82">
        <f>ROUND($L$141*$K$141,2)</f>
        <v>0</v>
      </c>
      <c r="BL141" s="6" t="s">
        <v>168</v>
      </c>
    </row>
    <row r="142" spans="2:64" s="6" customFormat="1" ht="27" customHeight="1">
      <c r="B142" s="21"/>
      <c r="C142" s="123" t="s">
        <v>196</v>
      </c>
      <c r="D142" s="123" t="s">
        <v>164</v>
      </c>
      <c r="E142" s="124" t="s">
        <v>197</v>
      </c>
      <c r="F142" s="205" t="s">
        <v>348</v>
      </c>
      <c r="G142" s="206"/>
      <c r="H142" s="206"/>
      <c r="I142" s="206"/>
      <c r="J142" s="125" t="s">
        <v>167</v>
      </c>
      <c r="K142" s="126">
        <v>22</v>
      </c>
      <c r="L142" s="207">
        <v>0</v>
      </c>
      <c r="M142" s="206"/>
      <c r="N142" s="208">
        <f>ROUND($L$142*$K$142,2)</f>
        <v>0</v>
      </c>
      <c r="O142" s="206"/>
      <c r="P142" s="206"/>
      <c r="Q142" s="206"/>
      <c r="R142" s="22"/>
      <c r="T142" s="127"/>
      <c r="U142" s="28" t="s">
        <v>42</v>
      </c>
      <c r="V142" s="128">
        <v>0.16</v>
      </c>
      <c r="W142" s="128">
        <f>$V$142*$K$142</f>
        <v>3.52</v>
      </c>
      <c r="X142" s="128">
        <v>0</v>
      </c>
      <c r="Y142" s="128">
        <f>$X$142*$K$142</f>
        <v>0</v>
      </c>
      <c r="Z142" s="128">
        <v>0</v>
      </c>
      <c r="AA142" s="129">
        <f>$Z$142*$K$142</f>
        <v>0</v>
      </c>
      <c r="AR142" s="6" t="s">
        <v>168</v>
      </c>
      <c r="AT142" s="6" t="s">
        <v>164</v>
      </c>
      <c r="AU142" s="6" t="s">
        <v>141</v>
      </c>
      <c r="AY142" s="6" t="s">
        <v>163</v>
      </c>
      <c r="BE142" s="82">
        <f>IF($U$142="základní",$N$142,0)</f>
        <v>0</v>
      </c>
      <c r="BF142" s="82">
        <f>IF($U$142="snížená",$N$142,0)</f>
        <v>0</v>
      </c>
      <c r="BG142" s="82">
        <f>IF($U$142="zákl. přenesená",$N$142,0)</f>
        <v>0</v>
      </c>
      <c r="BH142" s="82">
        <f>IF($U$142="sníž. přenesená",$N$142,0)</f>
        <v>0</v>
      </c>
      <c r="BI142" s="82">
        <f>IF($U$142="nulová",$N$142,0)</f>
        <v>0</v>
      </c>
      <c r="BJ142" s="6" t="s">
        <v>141</v>
      </c>
      <c r="BK142" s="82">
        <f>ROUND($L$142*$K$142,2)</f>
        <v>0</v>
      </c>
      <c r="BL142" s="6" t="s">
        <v>168</v>
      </c>
    </row>
    <row r="143" spans="2:63" s="113" customFormat="1" ht="30.75" customHeight="1">
      <c r="B143" s="114"/>
      <c r="D143" s="122" t="s">
        <v>129</v>
      </c>
      <c r="N143" s="223">
        <f>$BK$143</f>
        <v>0</v>
      </c>
      <c r="O143" s="222"/>
      <c r="P143" s="222"/>
      <c r="Q143" s="222"/>
      <c r="R143" s="117"/>
      <c r="T143" s="118"/>
      <c r="W143" s="119">
        <f>$W$144+SUM($W$145:$W$158)</f>
        <v>109.180732</v>
      </c>
      <c r="Y143" s="119">
        <f>$Y$144+SUM($Y$145:$Y$158)</f>
        <v>0.0052793200000000005</v>
      </c>
      <c r="AA143" s="120">
        <f>$AA$144+SUM($AA$145:$AA$158)</f>
        <v>15.55489</v>
      </c>
      <c r="AR143" s="116" t="s">
        <v>17</v>
      </c>
      <c r="AT143" s="116" t="s">
        <v>74</v>
      </c>
      <c r="AU143" s="116" t="s">
        <v>17</v>
      </c>
      <c r="AY143" s="116" t="s">
        <v>163</v>
      </c>
      <c r="BK143" s="121">
        <f>$BK$144+SUM($BK$145:$BK$158)</f>
        <v>0</v>
      </c>
    </row>
    <row r="144" spans="2:64" s="6" customFormat="1" ht="27" customHeight="1">
      <c r="B144" s="21"/>
      <c r="C144" s="123" t="s">
        <v>22</v>
      </c>
      <c r="D144" s="123" t="s">
        <v>164</v>
      </c>
      <c r="E144" s="124" t="s">
        <v>199</v>
      </c>
      <c r="F144" s="205" t="s">
        <v>200</v>
      </c>
      <c r="G144" s="206"/>
      <c r="H144" s="206"/>
      <c r="I144" s="206"/>
      <c r="J144" s="125" t="s">
        <v>171</v>
      </c>
      <c r="K144" s="126">
        <v>131.983</v>
      </c>
      <c r="L144" s="207">
        <v>0</v>
      </c>
      <c r="M144" s="206"/>
      <c r="N144" s="208">
        <f>ROUND($L$144*$K$144,2)</f>
        <v>0</v>
      </c>
      <c r="O144" s="206"/>
      <c r="P144" s="206"/>
      <c r="Q144" s="206"/>
      <c r="R144" s="22"/>
      <c r="T144" s="127"/>
      <c r="U144" s="28" t="s">
        <v>42</v>
      </c>
      <c r="V144" s="128">
        <v>0.308</v>
      </c>
      <c r="W144" s="128">
        <f>$V$144*$K$144</f>
        <v>40.650764</v>
      </c>
      <c r="X144" s="128">
        <v>4E-05</v>
      </c>
      <c r="Y144" s="128">
        <f>$X$144*$K$144</f>
        <v>0.0052793200000000005</v>
      </c>
      <c r="Z144" s="128">
        <v>0</v>
      </c>
      <c r="AA144" s="129">
        <f>$Z$144*$K$144</f>
        <v>0</v>
      </c>
      <c r="AR144" s="6" t="s">
        <v>168</v>
      </c>
      <c r="AT144" s="6" t="s">
        <v>164</v>
      </c>
      <c r="AU144" s="6" t="s">
        <v>141</v>
      </c>
      <c r="AY144" s="6" t="s">
        <v>163</v>
      </c>
      <c r="BE144" s="82">
        <f>IF($U$144="základní",$N$144,0)</f>
        <v>0</v>
      </c>
      <c r="BF144" s="82">
        <f>IF($U$144="snížená",$N$144,0)</f>
        <v>0</v>
      </c>
      <c r="BG144" s="82">
        <f>IF($U$144="zákl. přenesená",$N$144,0)</f>
        <v>0</v>
      </c>
      <c r="BH144" s="82">
        <f>IF($U$144="sníž. přenesená",$N$144,0)</f>
        <v>0</v>
      </c>
      <c r="BI144" s="82">
        <f>IF($U$144="nulová",$N$144,0)</f>
        <v>0</v>
      </c>
      <c r="BJ144" s="6" t="s">
        <v>141</v>
      </c>
      <c r="BK144" s="82">
        <f>ROUND($L$144*$K$144,2)</f>
        <v>0</v>
      </c>
      <c r="BL144" s="6" t="s">
        <v>168</v>
      </c>
    </row>
    <row r="145" spans="2:51" s="6" customFormat="1" ht="27" customHeight="1">
      <c r="B145" s="130"/>
      <c r="E145" s="131"/>
      <c r="F145" s="209" t="s">
        <v>349</v>
      </c>
      <c r="G145" s="210"/>
      <c r="H145" s="210"/>
      <c r="I145" s="210"/>
      <c r="K145" s="132">
        <v>35.41</v>
      </c>
      <c r="R145" s="133"/>
      <c r="T145" s="134"/>
      <c r="AA145" s="135"/>
      <c r="AT145" s="131" t="s">
        <v>173</v>
      </c>
      <c r="AU145" s="131" t="s">
        <v>141</v>
      </c>
      <c r="AV145" s="131" t="s">
        <v>141</v>
      </c>
      <c r="AW145" s="131" t="s">
        <v>125</v>
      </c>
      <c r="AX145" s="131" t="s">
        <v>75</v>
      </c>
      <c r="AY145" s="131" t="s">
        <v>163</v>
      </c>
    </row>
    <row r="146" spans="2:51" s="6" customFormat="1" ht="27" customHeight="1">
      <c r="B146" s="130"/>
      <c r="E146" s="131"/>
      <c r="F146" s="209" t="s">
        <v>350</v>
      </c>
      <c r="G146" s="210"/>
      <c r="H146" s="210"/>
      <c r="I146" s="210"/>
      <c r="K146" s="132">
        <v>27.126</v>
      </c>
      <c r="R146" s="133"/>
      <c r="T146" s="134"/>
      <c r="AA146" s="135"/>
      <c r="AT146" s="131" t="s">
        <v>173</v>
      </c>
      <c r="AU146" s="131" t="s">
        <v>141</v>
      </c>
      <c r="AV146" s="131" t="s">
        <v>141</v>
      </c>
      <c r="AW146" s="131" t="s">
        <v>125</v>
      </c>
      <c r="AX146" s="131" t="s">
        <v>75</v>
      </c>
      <c r="AY146" s="131" t="s">
        <v>163</v>
      </c>
    </row>
    <row r="147" spans="2:51" s="6" customFormat="1" ht="27" customHeight="1">
      <c r="B147" s="130"/>
      <c r="E147" s="131"/>
      <c r="F147" s="209" t="s">
        <v>351</v>
      </c>
      <c r="G147" s="210"/>
      <c r="H147" s="210"/>
      <c r="I147" s="210"/>
      <c r="K147" s="132">
        <v>32.411</v>
      </c>
      <c r="R147" s="133"/>
      <c r="T147" s="134"/>
      <c r="AA147" s="135"/>
      <c r="AT147" s="131" t="s">
        <v>173</v>
      </c>
      <c r="AU147" s="131" t="s">
        <v>141</v>
      </c>
      <c r="AV147" s="131" t="s">
        <v>141</v>
      </c>
      <c r="AW147" s="131" t="s">
        <v>125</v>
      </c>
      <c r="AX147" s="131" t="s">
        <v>75</v>
      </c>
      <c r="AY147" s="131" t="s">
        <v>163</v>
      </c>
    </row>
    <row r="148" spans="2:51" s="6" customFormat="1" ht="15.75" customHeight="1">
      <c r="B148" s="130"/>
      <c r="E148" s="131"/>
      <c r="F148" s="209" t="s">
        <v>352</v>
      </c>
      <c r="G148" s="210"/>
      <c r="H148" s="210"/>
      <c r="I148" s="210"/>
      <c r="K148" s="132">
        <v>37.036</v>
      </c>
      <c r="R148" s="133"/>
      <c r="T148" s="134"/>
      <c r="AA148" s="135"/>
      <c r="AT148" s="131" t="s">
        <v>173</v>
      </c>
      <c r="AU148" s="131" t="s">
        <v>141</v>
      </c>
      <c r="AV148" s="131" t="s">
        <v>141</v>
      </c>
      <c r="AW148" s="131" t="s">
        <v>125</v>
      </c>
      <c r="AX148" s="131" t="s">
        <v>75</v>
      </c>
      <c r="AY148" s="131" t="s">
        <v>163</v>
      </c>
    </row>
    <row r="149" spans="2:51" s="6" customFormat="1" ht="15.75" customHeight="1">
      <c r="B149" s="141"/>
      <c r="E149" s="142"/>
      <c r="F149" s="215" t="s">
        <v>286</v>
      </c>
      <c r="G149" s="216"/>
      <c r="H149" s="216"/>
      <c r="I149" s="216"/>
      <c r="K149" s="143">
        <v>131.983</v>
      </c>
      <c r="R149" s="144"/>
      <c r="T149" s="145"/>
      <c r="AA149" s="146"/>
      <c r="AT149" s="142" t="s">
        <v>173</v>
      </c>
      <c r="AU149" s="142" t="s">
        <v>141</v>
      </c>
      <c r="AV149" s="142" t="s">
        <v>168</v>
      </c>
      <c r="AW149" s="142" t="s">
        <v>125</v>
      </c>
      <c r="AX149" s="142" t="s">
        <v>17</v>
      </c>
      <c r="AY149" s="142" t="s">
        <v>163</v>
      </c>
    </row>
    <row r="150" spans="2:64" s="6" customFormat="1" ht="27" customHeight="1">
      <c r="B150" s="21"/>
      <c r="C150" s="123" t="s">
        <v>201</v>
      </c>
      <c r="D150" s="123" t="s">
        <v>164</v>
      </c>
      <c r="E150" s="124" t="s">
        <v>202</v>
      </c>
      <c r="F150" s="205" t="s">
        <v>203</v>
      </c>
      <c r="G150" s="206"/>
      <c r="H150" s="206"/>
      <c r="I150" s="206"/>
      <c r="J150" s="125" t="s">
        <v>171</v>
      </c>
      <c r="K150" s="126">
        <v>67.86</v>
      </c>
      <c r="L150" s="207">
        <v>0</v>
      </c>
      <c r="M150" s="206"/>
      <c r="N150" s="208">
        <f>ROUND($L$150*$K$150,2)</f>
        <v>0</v>
      </c>
      <c r="O150" s="206"/>
      <c r="P150" s="206"/>
      <c r="Q150" s="206"/>
      <c r="R150" s="22"/>
      <c r="T150" s="127"/>
      <c r="U150" s="28" t="s">
        <v>42</v>
      </c>
      <c r="V150" s="128">
        <v>0.245</v>
      </c>
      <c r="W150" s="128">
        <f>$V$150*$K$150</f>
        <v>16.6257</v>
      </c>
      <c r="X150" s="128">
        <v>0</v>
      </c>
      <c r="Y150" s="128">
        <f>$X$150*$K$150</f>
        <v>0</v>
      </c>
      <c r="Z150" s="128">
        <v>0.131</v>
      </c>
      <c r="AA150" s="129">
        <f>$Z$150*$K$150</f>
        <v>8.889660000000001</v>
      </c>
      <c r="AR150" s="6" t="s">
        <v>168</v>
      </c>
      <c r="AT150" s="6" t="s">
        <v>164</v>
      </c>
      <c r="AU150" s="6" t="s">
        <v>141</v>
      </c>
      <c r="AY150" s="6" t="s">
        <v>163</v>
      </c>
      <c r="BE150" s="82">
        <f>IF($U$150="základní",$N$150,0)</f>
        <v>0</v>
      </c>
      <c r="BF150" s="82">
        <f>IF($U$150="snížená",$N$150,0)</f>
        <v>0</v>
      </c>
      <c r="BG150" s="82">
        <f>IF($U$150="zákl. přenesená",$N$150,0)</f>
        <v>0</v>
      </c>
      <c r="BH150" s="82">
        <f>IF($U$150="sníž. přenesená",$N$150,0)</f>
        <v>0</v>
      </c>
      <c r="BI150" s="82">
        <f>IF($U$150="nulová",$N$150,0)</f>
        <v>0</v>
      </c>
      <c r="BJ150" s="6" t="s">
        <v>141</v>
      </c>
      <c r="BK150" s="82">
        <f>ROUND($L$150*$K$150,2)</f>
        <v>0</v>
      </c>
      <c r="BL150" s="6" t="s">
        <v>168</v>
      </c>
    </row>
    <row r="151" spans="2:51" s="6" customFormat="1" ht="15.75" customHeight="1">
      <c r="B151" s="130"/>
      <c r="E151" s="131"/>
      <c r="F151" s="209" t="s">
        <v>353</v>
      </c>
      <c r="G151" s="210"/>
      <c r="H151" s="210"/>
      <c r="I151" s="210"/>
      <c r="K151" s="132">
        <v>67.86</v>
      </c>
      <c r="R151" s="133"/>
      <c r="T151" s="134"/>
      <c r="AA151" s="135"/>
      <c r="AT151" s="131" t="s">
        <v>173</v>
      </c>
      <c r="AU151" s="131" t="s">
        <v>141</v>
      </c>
      <c r="AV151" s="131" t="s">
        <v>141</v>
      </c>
      <c r="AW151" s="131" t="s">
        <v>125</v>
      </c>
      <c r="AX151" s="131" t="s">
        <v>17</v>
      </c>
      <c r="AY151" s="131" t="s">
        <v>163</v>
      </c>
    </row>
    <row r="152" spans="2:64" s="6" customFormat="1" ht="27" customHeight="1">
      <c r="B152" s="21"/>
      <c r="C152" s="123" t="s">
        <v>205</v>
      </c>
      <c r="D152" s="123" t="s">
        <v>164</v>
      </c>
      <c r="E152" s="124" t="s">
        <v>206</v>
      </c>
      <c r="F152" s="205" t="s">
        <v>207</v>
      </c>
      <c r="G152" s="206"/>
      <c r="H152" s="206"/>
      <c r="I152" s="206"/>
      <c r="J152" s="125" t="s">
        <v>171</v>
      </c>
      <c r="K152" s="126">
        <v>8.274</v>
      </c>
      <c r="L152" s="207">
        <v>0</v>
      </c>
      <c r="M152" s="206"/>
      <c r="N152" s="208">
        <f>ROUND($L$152*$K$152,2)</f>
        <v>0</v>
      </c>
      <c r="O152" s="206"/>
      <c r="P152" s="206"/>
      <c r="Q152" s="206"/>
      <c r="R152" s="22"/>
      <c r="T152" s="127"/>
      <c r="U152" s="28" t="s">
        <v>42</v>
      </c>
      <c r="V152" s="128">
        <v>0.939</v>
      </c>
      <c r="W152" s="128">
        <f>$V$152*$K$152</f>
        <v>7.769285999999998</v>
      </c>
      <c r="X152" s="128">
        <v>0</v>
      </c>
      <c r="Y152" s="128">
        <f>$X$152*$K$152</f>
        <v>0</v>
      </c>
      <c r="Z152" s="128">
        <v>0.076</v>
      </c>
      <c r="AA152" s="129">
        <f>$Z$152*$K$152</f>
        <v>0.6288239999999999</v>
      </c>
      <c r="AR152" s="6" t="s">
        <v>168</v>
      </c>
      <c r="AT152" s="6" t="s">
        <v>164</v>
      </c>
      <c r="AU152" s="6" t="s">
        <v>141</v>
      </c>
      <c r="AY152" s="6" t="s">
        <v>163</v>
      </c>
      <c r="BE152" s="82">
        <f>IF($U$152="základní",$N$152,0)</f>
        <v>0</v>
      </c>
      <c r="BF152" s="82">
        <f>IF($U$152="snížená",$N$152,0)</f>
        <v>0</v>
      </c>
      <c r="BG152" s="82">
        <f>IF($U$152="zákl. přenesená",$N$152,0)</f>
        <v>0</v>
      </c>
      <c r="BH152" s="82">
        <f>IF($U$152="sníž. přenesená",$N$152,0)</f>
        <v>0</v>
      </c>
      <c r="BI152" s="82">
        <f>IF($U$152="nulová",$N$152,0)</f>
        <v>0</v>
      </c>
      <c r="BJ152" s="6" t="s">
        <v>141</v>
      </c>
      <c r="BK152" s="82">
        <f>ROUND($L$152*$K$152,2)</f>
        <v>0</v>
      </c>
      <c r="BL152" s="6" t="s">
        <v>168</v>
      </c>
    </row>
    <row r="153" spans="2:51" s="6" customFormat="1" ht="15.75" customHeight="1">
      <c r="B153" s="130"/>
      <c r="E153" s="131"/>
      <c r="F153" s="209" t="s">
        <v>354</v>
      </c>
      <c r="G153" s="210"/>
      <c r="H153" s="210"/>
      <c r="I153" s="210"/>
      <c r="K153" s="132">
        <v>8.274</v>
      </c>
      <c r="R153" s="133"/>
      <c r="T153" s="134"/>
      <c r="AA153" s="135"/>
      <c r="AT153" s="131" t="s">
        <v>173</v>
      </c>
      <c r="AU153" s="131" t="s">
        <v>141</v>
      </c>
      <c r="AV153" s="131" t="s">
        <v>141</v>
      </c>
      <c r="AW153" s="131" t="s">
        <v>125</v>
      </c>
      <c r="AX153" s="131" t="s">
        <v>17</v>
      </c>
      <c r="AY153" s="131" t="s">
        <v>163</v>
      </c>
    </row>
    <row r="154" spans="2:64" s="6" customFormat="1" ht="27" customHeight="1">
      <c r="B154" s="21"/>
      <c r="C154" s="123" t="s">
        <v>209</v>
      </c>
      <c r="D154" s="123" t="s">
        <v>164</v>
      </c>
      <c r="E154" s="124" t="s">
        <v>355</v>
      </c>
      <c r="F154" s="205" t="s">
        <v>356</v>
      </c>
      <c r="G154" s="206"/>
      <c r="H154" s="206"/>
      <c r="I154" s="206"/>
      <c r="J154" s="125" t="s">
        <v>171</v>
      </c>
      <c r="K154" s="126">
        <v>40.08</v>
      </c>
      <c r="L154" s="207">
        <v>0</v>
      </c>
      <c r="M154" s="206"/>
      <c r="N154" s="208">
        <f>ROUND($L$154*$K$154,2)</f>
        <v>0</v>
      </c>
      <c r="O154" s="206"/>
      <c r="P154" s="206"/>
      <c r="Q154" s="206"/>
      <c r="R154" s="22"/>
      <c r="T154" s="127"/>
      <c r="U154" s="28" t="s">
        <v>42</v>
      </c>
      <c r="V154" s="128">
        <v>0.33</v>
      </c>
      <c r="W154" s="128">
        <f>$V$154*$K$154</f>
        <v>13.2264</v>
      </c>
      <c r="X154" s="128">
        <v>0</v>
      </c>
      <c r="Y154" s="128">
        <f>$X$154*$K$154</f>
        <v>0</v>
      </c>
      <c r="Z154" s="128">
        <v>0.05</v>
      </c>
      <c r="AA154" s="129">
        <f>$Z$154*$K$154</f>
        <v>2.004</v>
      </c>
      <c r="AR154" s="6" t="s">
        <v>168</v>
      </c>
      <c r="AT154" s="6" t="s">
        <v>164</v>
      </c>
      <c r="AU154" s="6" t="s">
        <v>141</v>
      </c>
      <c r="AY154" s="6" t="s">
        <v>163</v>
      </c>
      <c r="BE154" s="82">
        <f>IF($U$154="základní",$N$154,0)</f>
        <v>0</v>
      </c>
      <c r="BF154" s="82">
        <f>IF($U$154="snížená",$N$154,0)</f>
        <v>0</v>
      </c>
      <c r="BG154" s="82">
        <f>IF($U$154="zákl. přenesená",$N$154,0)</f>
        <v>0</v>
      </c>
      <c r="BH154" s="82">
        <f>IF($U$154="sníž. přenesená",$N$154,0)</f>
        <v>0</v>
      </c>
      <c r="BI154" s="82">
        <f>IF($U$154="nulová",$N$154,0)</f>
        <v>0</v>
      </c>
      <c r="BJ154" s="6" t="s">
        <v>141</v>
      </c>
      <c r="BK154" s="82">
        <f>ROUND($L$154*$K$154,2)</f>
        <v>0</v>
      </c>
      <c r="BL154" s="6" t="s">
        <v>168</v>
      </c>
    </row>
    <row r="155" spans="2:51" s="6" customFormat="1" ht="15.75" customHeight="1">
      <c r="B155" s="130"/>
      <c r="E155" s="131"/>
      <c r="F155" s="209" t="s">
        <v>357</v>
      </c>
      <c r="G155" s="210"/>
      <c r="H155" s="210"/>
      <c r="I155" s="210"/>
      <c r="K155" s="132">
        <v>40.08</v>
      </c>
      <c r="R155" s="133"/>
      <c r="T155" s="134"/>
      <c r="AA155" s="135"/>
      <c r="AT155" s="131" t="s">
        <v>173</v>
      </c>
      <c r="AU155" s="131" t="s">
        <v>141</v>
      </c>
      <c r="AV155" s="131" t="s">
        <v>141</v>
      </c>
      <c r="AW155" s="131" t="s">
        <v>125</v>
      </c>
      <c r="AX155" s="131" t="s">
        <v>17</v>
      </c>
      <c r="AY155" s="131" t="s">
        <v>163</v>
      </c>
    </row>
    <row r="156" spans="2:64" s="6" customFormat="1" ht="27" customHeight="1">
      <c r="B156" s="21"/>
      <c r="C156" s="123" t="s">
        <v>213</v>
      </c>
      <c r="D156" s="123" t="s">
        <v>164</v>
      </c>
      <c r="E156" s="124" t="s">
        <v>358</v>
      </c>
      <c r="F156" s="205" t="s">
        <v>359</v>
      </c>
      <c r="G156" s="206"/>
      <c r="H156" s="206"/>
      <c r="I156" s="206"/>
      <c r="J156" s="125" t="s">
        <v>171</v>
      </c>
      <c r="K156" s="126">
        <v>87.661</v>
      </c>
      <c r="L156" s="207">
        <v>0</v>
      </c>
      <c r="M156" s="206"/>
      <c r="N156" s="208">
        <f>ROUND($L$156*$K$156,2)</f>
        <v>0</v>
      </c>
      <c r="O156" s="206"/>
      <c r="P156" s="206"/>
      <c r="Q156" s="206"/>
      <c r="R156" s="22"/>
      <c r="T156" s="127"/>
      <c r="U156" s="28" t="s">
        <v>42</v>
      </c>
      <c r="V156" s="128">
        <v>0.26</v>
      </c>
      <c r="W156" s="128">
        <f>$V$156*$K$156</f>
        <v>22.79186</v>
      </c>
      <c r="X156" s="128">
        <v>0</v>
      </c>
      <c r="Y156" s="128">
        <f>$X$156*$K$156</f>
        <v>0</v>
      </c>
      <c r="Z156" s="128">
        <v>0.046</v>
      </c>
      <c r="AA156" s="129">
        <f>$Z$156*$K$156</f>
        <v>4.032406</v>
      </c>
      <c r="AR156" s="6" t="s">
        <v>168</v>
      </c>
      <c r="AT156" s="6" t="s">
        <v>164</v>
      </c>
      <c r="AU156" s="6" t="s">
        <v>141</v>
      </c>
      <c r="AY156" s="6" t="s">
        <v>163</v>
      </c>
      <c r="BE156" s="82">
        <f>IF($U$156="základní",$N$156,0)</f>
        <v>0</v>
      </c>
      <c r="BF156" s="82">
        <f>IF($U$156="snížená",$N$156,0)</f>
        <v>0</v>
      </c>
      <c r="BG156" s="82">
        <f>IF($U$156="zákl. přenesená",$N$156,0)</f>
        <v>0</v>
      </c>
      <c r="BH156" s="82">
        <f>IF($U$156="sníž. přenesená",$N$156,0)</f>
        <v>0</v>
      </c>
      <c r="BI156" s="82">
        <f>IF($U$156="nulová",$N$156,0)</f>
        <v>0</v>
      </c>
      <c r="BJ156" s="6" t="s">
        <v>141</v>
      </c>
      <c r="BK156" s="82">
        <f>ROUND($L$156*$K$156,2)</f>
        <v>0</v>
      </c>
      <c r="BL156" s="6" t="s">
        <v>168</v>
      </c>
    </row>
    <row r="157" spans="2:51" s="6" customFormat="1" ht="15.75" customHeight="1">
      <c r="B157" s="130"/>
      <c r="E157" s="131"/>
      <c r="F157" s="209" t="s">
        <v>360</v>
      </c>
      <c r="G157" s="210"/>
      <c r="H157" s="210"/>
      <c r="I157" s="210"/>
      <c r="K157" s="132">
        <v>87.661</v>
      </c>
      <c r="R157" s="133"/>
      <c r="T157" s="134"/>
      <c r="AA157" s="135"/>
      <c r="AT157" s="131" t="s">
        <v>173</v>
      </c>
      <c r="AU157" s="131" t="s">
        <v>141</v>
      </c>
      <c r="AV157" s="131" t="s">
        <v>141</v>
      </c>
      <c r="AW157" s="131" t="s">
        <v>125</v>
      </c>
      <c r="AX157" s="131" t="s">
        <v>17</v>
      </c>
      <c r="AY157" s="131" t="s">
        <v>163</v>
      </c>
    </row>
    <row r="158" spans="2:63" s="113" customFormat="1" ht="23.25" customHeight="1">
      <c r="B158" s="114"/>
      <c r="D158" s="122" t="s">
        <v>130</v>
      </c>
      <c r="N158" s="223">
        <f>$BK$158</f>
        <v>0</v>
      </c>
      <c r="O158" s="222"/>
      <c r="P158" s="222"/>
      <c r="Q158" s="222"/>
      <c r="R158" s="117"/>
      <c r="T158" s="118"/>
      <c r="W158" s="119">
        <f>SUM($W$159:$W$164)</f>
        <v>8.116722000000001</v>
      </c>
      <c r="Y158" s="119">
        <f>SUM($Y$159:$Y$164)</f>
        <v>0</v>
      </c>
      <c r="AA158" s="120">
        <f>SUM($AA$159:$AA$164)</f>
        <v>0</v>
      </c>
      <c r="AR158" s="116" t="s">
        <v>17</v>
      </c>
      <c r="AT158" s="116" t="s">
        <v>74</v>
      </c>
      <c r="AU158" s="116" t="s">
        <v>141</v>
      </c>
      <c r="AY158" s="116" t="s">
        <v>163</v>
      </c>
      <c r="BK158" s="121">
        <f>SUM($BK$159:$BK$164)</f>
        <v>0</v>
      </c>
    </row>
    <row r="159" spans="2:64" s="6" customFormat="1" ht="15.75" customHeight="1">
      <c r="B159" s="21"/>
      <c r="C159" s="123" t="s">
        <v>8</v>
      </c>
      <c r="D159" s="123" t="s">
        <v>164</v>
      </c>
      <c r="E159" s="124" t="s">
        <v>214</v>
      </c>
      <c r="F159" s="205" t="s">
        <v>215</v>
      </c>
      <c r="G159" s="206"/>
      <c r="H159" s="206"/>
      <c r="I159" s="206"/>
      <c r="J159" s="125" t="s">
        <v>216</v>
      </c>
      <c r="K159" s="126">
        <v>16.014</v>
      </c>
      <c r="L159" s="207">
        <v>0</v>
      </c>
      <c r="M159" s="206"/>
      <c r="N159" s="208">
        <f>ROUND($L$159*$K$159,2)</f>
        <v>0</v>
      </c>
      <c r="O159" s="206"/>
      <c r="P159" s="206"/>
      <c r="Q159" s="206"/>
      <c r="R159" s="22"/>
      <c r="T159" s="127"/>
      <c r="U159" s="28" t="s">
        <v>42</v>
      </c>
      <c r="V159" s="128">
        <v>0.136</v>
      </c>
      <c r="W159" s="128">
        <f>$V$159*$K$159</f>
        <v>2.1779040000000003</v>
      </c>
      <c r="X159" s="128">
        <v>0</v>
      </c>
      <c r="Y159" s="128">
        <f>$X$159*$K$159</f>
        <v>0</v>
      </c>
      <c r="Z159" s="128">
        <v>0</v>
      </c>
      <c r="AA159" s="129">
        <f>$Z$159*$K$159</f>
        <v>0</v>
      </c>
      <c r="AR159" s="6" t="s">
        <v>168</v>
      </c>
      <c r="AT159" s="6" t="s">
        <v>164</v>
      </c>
      <c r="AU159" s="6" t="s">
        <v>174</v>
      </c>
      <c r="AY159" s="6" t="s">
        <v>163</v>
      </c>
      <c r="BE159" s="82">
        <f>IF($U$159="základní",$N$159,0)</f>
        <v>0</v>
      </c>
      <c r="BF159" s="82">
        <f>IF($U$159="snížená",$N$159,0)</f>
        <v>0</v>
      </c>
      <c r="BG159" s="82">
        <f>IF($U$159="zákl. přenesená",$N$159,0)</f>
        <v>0</v>
      </c>
      <c r="BH159" s="82">
        <f>IF($U$159="sníž. přenesená",$N$159,0)</f>
        <v>0</v>
      </c>
      <c r="BI159" s="82">
        <f>IF($U$159="nulová",$N$159,0)</f>
        <v>0</v>
      </c>
      <c r="BJ159" s="6" t="s">
        <v>141</v>
      </c>
      <c r="BK159" s="82">
        <f>ROUND($L$159*$K$159,2)</f>
        <v>0</v>
      </c>
      <c r="BL159" s="6" t="s">
        <v>168</v>
      </c>
    </row>
    <row r="160" spans="2:64" s="6" customFormat="1" ht="27" customHeight="1">
      <c r="B160" s="21"/>
      <c r="C160" s="123" t="s">
        <v>219</v>
      </c>
      <c r="D160" s="123" t="s">
        <v>164</v>
      </c>
      <c r="E160" s="124" t="s">
        <v>217</v>
      </c>
      <c r="F160" s="205" t="s">
        <v>218</v>
      </c>
      <c r="G160" s="206"/>
      <c r="H160" s="206"/>
      <c r="I160" s="206"/>
      <c r="J160" s="125" t="s">
        <v>216</v>
      </c>
      <c r="K160" s="126">
        <v>16.014</v>
      </c>
      <c r="L160" s="207">
        <v>0</v>
      </c>
      <c r="M160" s="206"/>
      <c r="N160" s="208">
        <f>ROUND($L$160*$K$160,2)</f>
        <v>0</v>
      </c>
      <c r="O160" s="206"/>
      <c r="P160" s="206"/>
      <c r="Q160" s="206"/>
      <c r="R160" s="22"/>
      <c r="T160" s="127"/>
      <c r="U160" s="28" t="s">
        <v>42</v>
      </c>
      <c r="V160" s="128">
        <v>0.125</v>
      </c>
      <c r="W160" s="128">
        <f>$V$160*$K$160</f>
        <v>2.00175</v>
      </c>
      <c r="X160" s="128">
        <v>0</v>
      </c>
      <c r="Y160" s="128">
        <f>$X$160*$K$160</f>
        <v>0</v>
      </c>
      <c r="Z160" s="128">
        <v>0</v>
      </c>
      <c r="AA160" s="129">
        <f>$Z$160*$K$160</f>
        <v>0</v>
      </c>
      <c r="AR160" s="6" t="s">
        <v>168</v>
      </c>
      <c r="AT160" s="6" t="s">
        <v>164</v>
      </c>
      <c r="AU160" s="6" t="s">
        <v>174</v>
      </c>
      <c r="AY160" s="6" t="s">
        <v>163</v>
      </c>
      <c r="BE160" s="82">
        <f>IF($U$160="základní",$N$160,0)</f>
        <v>0</v>
      </c>
      <c r="BF160" s="82">
        <f>IF($U$160="snížená",$N$160,0)</f>
        <v>0</v>
      </c>
      <c r="BG160" s="82">
        <f>IF($U$160="zákl. přenesená",$N$160,0)</f>
        <v>0</v>
      </c>
      <c r="BH160" s="82">
        <f>IF($U$160="sníž. přenesená",$N$160,0)</f>
        <v>0</v>
      </c>
      <c r="BI160" s="82">
        <f>IF($U$160="nulová",$N$160,0)</f>
        <v>0</v>
      </c>
      <c r="BJ160" s="6" t="s">
        <v>141</v>
      </c>
      <c r="BK160" s="82">
        <f>ROUND($L$160*$K$160,2)</f>
        <v>0</v>
      </c>
      <c r="BL160" s="6" t="s">
        <v>168</v>
      </c>
    </row>
    <row r="161" spans="2:64" s="6" customFormat="1" ht="27" customHeight="1">
      <c r="B161" s="21"/>
      <c r="C161" s="123" t="s">
        <v>223</v>
      </c>
      <c r="D161" s="123" t="s">
        <v>164</v>
      </c>
      <c r="E161" s="124" t="s">
        <v>220</v>
      </c>
      <c r="F161" s="205" t="s">
        <v>221</v>
      </c>
      <c r="G161" s="206"/>
      <c r="H161" s="206"/>
      <c r="I161" s="206"/>
      <c r="J161" s="125" t="s">
        <v>216</v>
      </c>
      <c r="K161" s="126">
        <v>288.252</v>
      </c>
      <c r="L161" s="207">
        <v>0</v>
      </c>
      <c r="M161" s="206"/>
      <c r="N161" s="208">
        <f>ROUND($L$161*$K$161,2)</f>
        <v>0</v>
      </c>
      <c r="O161" s="206"/>
      <c r="P161" s="206"/>
      <c r="Q161" s="206"/>
      <c r="R161" s="22"/>
      <c r="T161" s="127"/>
      <c r="U161" s="28" t="s">
        <v>42</v>
      </c>
      <c r="V161" s="128">
        <v>0.006</v>
      </c>
      <c r="W161" s="128">
        <f>$V$161*$K$161</f>
        <v>1.7295120000000002</v>
      </c>
      <c r="X161" s="128">
        <v>0</v>
      </c>
      <c r="Y161" s="128">
        <f>$X$161*$K$161</f>
        <v>0</v>
      </c>
      <c r="Z161" s="128">
        <v>0</v>
      </c>
      <c r="AA161" s="129">
        <f>$Z$161*$K$161</f>
        <v>0</v>
      </c>
      <c r="AR161" s="6" t="s">
        <v>168</v>
      </c>
      <c r="AT161" s="6" t="s">
        <v>164</v>
      </c>
      <c r="AU161" s="6" t="s">
        <v>174</v>
      </c>
      <c r="AY161" s="6" t="s">
        <v>163</v>
      </c>
      <c r="BE161" s="82">
        <f>IF($U$161="základní",$N$161,0)</f>
        <v>0</v>
      </c>
      <c r="BF161" s="82">
        <f>IF($U$161="snížená",$N$161,0)</f>
        <v>0</v>
      </c>
      <c r="BG161" s="82">
        <f>IF($U$161="zákl. přenesená",$N$161,0)</f>
        <v>0</v>
      </c>
      <c r="BH161" s="82">
        <f>IF($U$161="sníž. přenesená",$N$161,0)</f>
        <v>0</v>
      </c>
      <c r="BI161" s="82">
        <f>IF($U$161="nulová",$N$161,0)</f>
        <v>0</v>
      </c>
      <c r="BJ161" s="6" t="s">
        <v>141</v>
      </c>
      <c r="BK161" s="82">
        <f>ROUND($L$161*$K$161,2)</f>
        <v>0</v>
      </c>
      <c r="BL161" s="6" t="s">
        <v>168</v>
      </c>
    </row>
    <row r="162" spans="2:51" s="6" customFormat="1" ht="15.75" customHeight="1">
      <c r="B162" s="130"/>
      <c r="E162" s="131"/>
      <c r="F162" s="209" t="s">
        <v>361</v>
      </c>
      <c r="G162" s="210"/>
      <c r="H162" s="210"/>
      <c r="I162" s="210"/>
      <c r="K162" s="132">
        <v>288.252</v>
      </c>
      <c r="R162" s="133"/>
      <c r="T162" s="134"/>
      <c r="AA162" s="135"/>
      <c r="AT162" s="131" t="s">
        <v>173</v>
      </c>
      <c r="AU162" s="131" t="s">
        <v>174</v>
      </c>
      <c r="AV162" s="131" t="s">
        <v>141</v>
      </c>
      <c r="AW162" s="131" t="s">
        <v>125</v>
      </c>
      <c r="AX162" s="131" t="s">
        <v>17</v>
      </c>
      <c r="AY162" s="131" t="s">
        <v>163</v>
      </c>
    </row>
    <row r="163" spans="2:64" s="6" customFormat="1" ht="27" customHeight="1">
      <c r="B163" s="21"/>
      <c r="C163" s="123" t="s">
        <v>226</v>
      </c>
      <c r="D163" s="123" t="s">
        <v>164</v>
      </c>
      <c r="E163" s="124" t="s">
        <v>224</v>
      </c>
      <c r="F163" s="205" t="s">
        <v>225</v>
      </c>
      <c r="G163" s="206"/>
      <c r="H163" s="206"/>
      <c r="I163" s="206"/>
      <c r="J163" s="125" t="s">
        <v>216</v>
      </c>
      <c r="K163" s="126">
        <v>16.014</v>
      </c>
      <c r="L163" s="207">
        <v>0</v>
      </c>
      <c r="M163" s="206"/>
      <c r="N163" s="208">
        <f>ROUND($L$163*$K$163,2)</f>
        <v>0</v>
      </c>
      <c r="O163" s="206"/>
      <c r="P163" s="206"/>
      <c r="Q163" s="206"/>
      <c r="R163" s="22"/>
      <c r="T163" s="127"/>
      <c r="U163" s="28" t="s">
        <v>42</v>
      </c>
      <c r="V163" s="128">
        <v>0</v>
      </c>
      <c r="W163" s="128">
        <f>$V$163*$K$163</f>
        <v>0</v>
      </c>
      <c r="X163" s="128">
        <v>0</v>
      </c>
      <c r="Y163" s="128">
        <f>$X$163*$K$163</f>
        <v>0</v>
      </c>
      <c r="Z163" s="128">
        <v>0</v>
      </c>
      <c r="AA163" s="129">
        <f>$Z$163*$K$163</f>
        <v>0</v>
      </c>
      <c r="AR163" s="6" t="s">
        <v>168</v>
      </c>
      <c r="AT163" s="6" t="s">
        <v>164</v>
      </c>
      <c r="AU163" s="6" t="s">
        <v>174</v>
      </c>
      <c r="AY163" s="6" t="s">
        <v>163</v>
      </c>
      <c r="BE163" s="82">
        <f>IF($U$163="základní",$N$163,0)</f>
        <v>0</v>
      </c>
      <c r="BF163" s="82">
        <f>IF($U$163="snížená",$N$163,0)</f>
        <v>0</v>
      </c>
      <c r="BG163" s="82">
        <f>IF($U$163="zákl. přenesená",$N$163,0)</f>
        <v>0</v>
      </c>
      <c r="BH163" s="82">
        <f>IF($U$163="sníž. přenesená",$N$163,0)</f>
        <v>0</v>
      </c>
      <c r="BI163" s="82">
        <f>IF($U$163="nulová",$N$163,0)</f>
        <v>0</v>
      </c>
      <c r="BJ163" s="6" t="s">
        <v>141</v>
      </c>
      <c r="BK163" s="82">
        <f>ROUND($L$163*$K$163,2)</f>
        <v>0</v>
      </c>
      <c r="BL163" s="6" t="s">
        <v>168</v>
      </c>
    </row>
    <row r="164" spans="2:64" s="6" customFormat="1" ht="15.75" customHeight="1">
      <c r="B164" s="21"/>
      <c r="C164" s="123" t="s">
        <v>229</v>
      </c>
      <c r="D164" s="123" t="s">
        <v>164</v>
      </c>
      <c r="E164" s="124" t="s">
        <v>227</v>
      </c>
      <c r="F164" s="205" t="s">
        <v>228</v>
      </c>
      <c r="G164" s="206"/>
      <c r="H164" s="206"/>
      <c r="I164" s="206"/>
      <c r="J164" s="125" t="s">
        <v>216</v>
      </c>
      <c r="K164" s="126">
        <v>6.942</v>
      </c>
      <c r="L164" s="207">
        <v>0</v>
      </c>
      <c r="M164" s="206"/>
      <c r="N164" s="208">
        <f>ROUND($L$164*$K$164,2)</f>
        <v>0</v>
      </c>
      <c r="O164" s="206"/>
      <c r="P164" s="206"/>
      <c r="Q164" s="206"/>
      <c r="R164" s="22"/>
      <c r="T164" s="127"/>
      <c r="U164" s="28" t="s">
        <v>42</v>
      </c>
      <c r="V164" s="128">
        <v>0.318</v>
      </c>
      <c r="W164" s="128">
        <f>$V$164*$K$164</f>
        <v>2.2075560000000003</v>
      </c>
      <c r="X164" s="128">
        <v>0</v>
      </c>
      <c r="Y164" s="128">
        <f>$X$164*$K$164</f>
        <v>0</v>
      </c>
      <c r="Z164" s="128">
        <v>0</v>
      </c>
      <c r="AA164" s="129">
        <f>$Z$164*$K$164</f>
        <v>0</v>
      </c>
      <c r="AR164" s="6" t="s">
        <v>168</v>
      </c>
      <c r="AT164" s="6" t="s">
        <v>164</v>
      </c>
      <c r="AU164" s="6" t="s">
        <v>174</v>
      </c>
      <c r="AY164" s="6" t="s">
        <v>163</v>
      </c>
      <c r="BE164" s="82">
        <f>IF($U$164="základní",$N$164,0)</f>
        <v>0</v>
      </c>
      <c r="BF164" s="82">
        <f>IF($U$164="snížená",$N$164,0)</f>
        <v>0</v>
      </c>
      <c r="BG164" s="82">
        <f>IF($U$164="zákl. přenesená",$N$164,0)</f>
        <v>0</v>
      </c>
      <c r="BH164" s="82">
        <f>IF($U$164="sníž. přenesená",$N$164,0)</f>
        <v>0</v>
      </c>
      <c r="BI164" s="82">
        <f>IF($U$164="nulová",$N$164,0)</f>
        <v>0</v>
      </c>
      <c r="BJ164" s="6" t="s">
        <v>141</v>
      </c>
      <c r="BK164" s="82">
        <f>ROUND($L$164*$K$164,2)</f>
        <v>0</v>
      </c>
      <c r="BL164" s="6" t="s">
        <v>168</v>
      </c>
    </row>
    <row r="165" spans="2:63" s="113" customFormat="1" ht="37.5" customHeight="1">
      <c r="B165" s="114"/>
      <c r="D165" s="115" t="s">
        <v>131</v>
      </c>
      <c r="N165" s="201">
        <f>$BK$165</f>
        <v>0</v>
      </c>
      <c r="O165" s="222"/>
      <c r="P165" s="222"/>
      <c r="Q165" s="222"/>
      <c r="R165" s="117"/>
      <c r="T165" s="118"/>
      <c r="W165" s="119">
        <f>$W$166+$W$169+$W$178+$W$185+$W$192</f>
        <v>126.758258</v>
      </c>
      <c r="Y165" s="119">
        <f>$Y$166+$Y$169+$Y$178+$Y$185+$Y$192</f>
        <v>0.45265133</v>
      </c>
      <c r="AA165" s="120">
        <f>$AA$166+$AA$169+$AA$178+$AA$185+$AA$192</f>
        <v>0.45902975</v>
      </c>
      <c r="AR165" s="116" t="s">
        <v>141</v>
      </c>
      <c r="AT165" s="116" t="s">
        <v>74</v>
      </c>
      <c r="AU165" s="116" t="s">
        <v>75</v>
      </c>
      <c r="AY165" s="116" t="s">
        <v>163</v>
      </c>
      <c r="BK165" s="121">
        <f>$BK$166+$BK$169+$BK$178+$BK$185+$BK$192</f>
        <v>0</v>
      </c>
    </row>
    <row r="166" spans="2:63" s="113" customFormat="1" ht="21" customHeight="1">
      <c r="B166" s="114"/>
      <c r="D166" s="122" t="s">
        <v>342</v>
      </c>
      <c r="N166" s="223">
        <f>$BK$166</f>
        <v>0</v>
      </c>
      <c r="O166" s="222"/>
      <c r="P166" s="222"/>
      <c r="Q166" s="222"/>
      <c r="R166" s="117"/>
      <c r="T166" s="118"/>
      <c r="W166" s="119">
        <f>SUM($W$167:$W$168)</f>
        <v>0.412</v>
      </c>
      <c r="Y166" s="119">
        <f>SUM($Y$167:$Y$168)</f>
        <v>0.00058</v>
      </c>
      <c r="AA166" s="120">
        <f>SUM($AA$167:$AA$168)</f>
        <v>0.00042</v>
      </c>
      <c r="AR166" s="116" t="s">
        <v>141</v>
      </c>
      <c r="AT166" s="116" t="s">
        <v>74</v>
      </c>
      <c r="AU166" s="116" t="s">
        <v>17</v>
      </c>
      <c r="AY166" s="116" t="s">
        <v>163</v>
      </c>
      <c r="BK166" s="121">
        <f>SUM($BK$167:$BK$168)</f>
        <v>0</v>
      </c>
    </row>
    <row r="167" spans="2:64" s="6" customFormat="1" ht="27" customHeight="1">
      <c r="B167" s="21"/>
      <c r="C167" s="123" t="s">
        <v>232</v>
      </c>
      <c r="D167" s="123" t="s">
        <v>164</v>
      </c>
      <c r="E167" s="124" t="s">
        <v>362</v>
      </c>
      <c r="F167" s="205" t="s">
        <v>363</v>
      </c>
      <c r="G167" s="206"/>
      <c r="H167" s="206"/>
      <c r="I167" s="206"/>
      <c r="J167" s="125" t="s">
        <v>167</v>
      </c>
      <c r="K167" s="126">
        <v>1</v>
      </c>
      <c r="L167" s="207">
        <v>0</v>
      </c>
      <c r="M167" s="206"/>
      <c r="N167" s="208">
        <f>ROUND($L$167*$K$167,2)</f>
        <v>0</v>
      </c>
      <c r="O167" s="206"/>
      <c r="P167" s="206"/>
      <c r="Q167" s="206"/>
      <c r="R167" s="22"/>
      <c r="T167" s="127"/>
      <c r="U167" s="28" t="s">
        <v>42</v>
      </c>
      <c r="V167" s="128">
        <v>0.412</v>
      </c>
      <c r="W167" s="128">
        <f>$V$167*$K$167</f>
        <v>0.412</v>
      </c>
      <c r="X167" s="128">
        <v>0.00058</v>
      </c>
      <c r="Y167" s="128">
        <f>$X$167*$K$167</f>
        <v>0.00058</v>
      </c>
      <c r="Z167" s="128">
        <v>0.00042</v>
      </c>
      <c r="AA167" s="129">
        <f>$Z$167*$K$167</f>
        <v>0.00042</v>
      </c>
      <c r="AR167" s="6" t="s">
        <v>219</v>
      </c>
      <c r="AT167" s="6" t="s">
        <v>164</v>
      </c>
      <c r="AU167" s="6" t="s">
        <v>141</v>
      </c>
      <c r="AY167" s="6" t="s">
        <v>163</v>
      </c>
      <c r="BE167" s="82">
        <f>IF($U$167="základní",$N$167,0)</f>
        <v>0</v>
      </c>
      <c r="BF167" s="82">
        <f>IF($U$167="snížená",$N$167,0)</f>
        <v>0</v>
      </c>
      <c r="BG167" s="82">
        <f>IF($U$167="zákl. přenesená",$N$167,0)</f>
        <v>0</v>
      </c>
      <c r="BH167" s="82">
        <f>IF($U$167="sníž. přenesená",$N$167,0)</f>
        <v>0</v>
      </c>
      <c r="BI167" s="82">
        <f>IF($U$167="nulová",$N$167,0)</f>
        <v>0</v>
      </c>
      <c r="BJ167" s="6" t="s">
        <v>141</v>
      </c>
      <c r="BK167" s="82">
        <f>ROUND($L$167*$K$167,2)</f>
        <v>0</v>
      </c>
      <c r="BL167" s="6" t="s">
        <v>219</v>
      </c>
    </row>
    <row r="168" spans="2:64" s="6" customFormat="1" ht="27" customHeight="1">
      <c r="B168" s="21"/>
      <c r="C168" s="123" t="s">
        <v>7</v>
      </c>
      <c r="D168" s="123" t="s">
        <v>164</v>
      </c>
      <c r="E168" s="124" t="s">
        <v>364</v>
      </c>
      <c r="F168" s="205" t="s">
        <v>365</v>
      </c>
      <c r="G168" s="206"/>
      <c r="H168" s="206"/>
      <c r="I168" s="206"/>
      <c r="J168" s="125" t="s">
        <v>240</v>
      </c>
      <c r="K168" s="140">
        <v>0</v>
      </c>
      <c r="L168" s="207">
        <v>0</v>
      </c>
      <c r="M168" s="206"/>
      <c r="N168" s="208">
        <f>ROUND($L$168*$K$168,2)</f>
        <v>0</v>
      </c>
      <c r="O168" s="206"/>
      <c r="P168" s="206"/>
      <c r="Q168" s="206"/>
      <c r="R168" s="22"/>
      <c r="T168" s="127"/>
      <c r="U168" s="28" t="s">
        <v>42</v>
      </c>
      <c r="V168" s="128">
        <v>0</v>
      </c>
      <c r="W168" s="128">
        <f>$V$168*$K$168</f>
        <v>0</v>
      </c>
      <c r="X168" s="128">
        <v>0</v>
      </c>
      <c r="Y168" s="128">
        <f>$X$168*$K$168</f>
        <v>0</v>
      </c>
      <c r="Z168" s="128">
        <v>0</v>
      </c>
      <c r="AA168" s="129">
        <f>$Z$168*$K$168</f>
        <v>0</v>
      </c>
      <c r="AR168" s="6" t="s">
        <v>219</v>
      </c>
      <c r="AT168" s="6" t="s">
        <v>164</v>
      </c>
      <c r="AU168" s="6" t="s">
        <v>141</v>
      </c>
      <c r="AY168" s="6" t="s">
        <v>163</v>
      </c>
      <c r="BE168" s="82">
        <f>IF($U$168="základní",$N$168,0)</f>
        <v>0</v>
      </c>
      <c r="BF168" s="82">
        <f>IF($U$168="snížená",$N$168,0)</f>
        <v>0</v>
      </c>
      <c r="BG168" s="82">
        <f>IF($U$168="zákl. přenesená",$N$168,0)</f>
        <v>0</v>
      </c>
      <c r="BH168" s="82">
        <f>IF($U$168="sníž. přenesená",$N$168,0)</f>
        <v>0</v>
      </c>
      <c r="BI168" s="82">
        <f>IF($U$168="nulová",$N$168,0)</f>
        <v>0</v>
      </c>
      <c r="BJ168" s="6" t="s">
        <v>141</v>
      </c>
      <c r="BK168" s="82">
        <f>ROUND($L$168*$K$168,2)</f>
        <v>0</v>
      </c>
      <c r="BL168" s="6" t="s">
        <v>219</v>
      </c>
    </row>
    <row r="169" spans="2:63" s="113" customFormat="1" ht="30.75" customHeight="1">
      <c r="B169" s="114"/>
      <c r="D169" s="122" t="s">
        <v>133</v>
      </c>
      <c r="N169" s="223">
        <f>$BK$169</f>
        <v>0</v>
      </c>
      <c r="O169" s="222"/>
      <c r="P169" s="222"/>
      <c r="Q169" s="222"/>
      <c r="R169" s="117"/>
      <c r="T169" s="118"/>
      <c r="W169" s="119">
        <f>SUM($W$170:$W$177)</f>
        <v>5.813000000000001</v>
      </c>
      <c r="Y169" s="119">
        <f>SUM($Y$170:$Y$177)</f>
        <v>0.06526</v>
      </c>
      <c r="AA169" s="120">
        <f>SUM($AA$170:$AA$177)</f>
        <v>0.06053</v>
      </c>
      <c r="AR169" s="116" t="s">
        <v>141</v>
      </c>
      <c r="AT169" s="116" t="s">
        <v>74</v>
      </c>
      <c r="AU169" s="116" t="s">
        <v>17</v>
      </c>
      <c r="AY169" s="116" t="s">
        <v>163</v>
      </c>
      <c r="BK169" s="121">
        <f>SUM($BK$170:$BK$177)</f>
        <v>0</v>
      </c>
    </row>
    <row r="170" spans="2:64" s="6" customFormat="1" ht="15.75" customHeight="1">
      <c r="B170" s="21"/>
      <c r="C170" s="123" t="s">
        <v>237</v>
      </c>
      <c r="D170" s="123" t="s">
        <v>164</v>
      </c>
      <c r="E170" s="124" t="s">
        <v>242</v>
      </c>
      <c r="F170" s="205" t="s">
        <v>243</v>
      </c>
      <c r="G170" s="206"/>
      <c r="H170" s="206"/>
      <c r="I170" s="206"/>
      <c r="J170" s="125" t="s">
        <v>244</v>
      </c>
      <c r="K170" s="126">
        <v>2</v>
      </c>
      <c r="L170" s="207">
        <v>0</v>
      </c>
      <c r="M170" s="206"/>
      <c r="N170" s="208">
        <f>ROUND($L$170*$K$170,2)</f>
        <v>0</v>
      </c>
      <c r="O170" s="206"/>
      <c r="P170" s="206"/>
      <c r="Q170" s="206"/>
      <c r="R170" s="22"/>
      <c r="T170" s="127"/>
      <c r="U170" s="28" t="s">
        <v>42</v>
      </c>
      <c r="V170" s="128">
        <v>0.548</v>
      </c>
      <c r="W170" s="128">
        <f>$V$170*$K$170</f>
        <v>1.096</v>
      </c>
      <c r="X170" s="128">
        <v>0</v>
      </c>
      <c r="Y170" s="128">
        <f>$X$170*$K$170</f>
        <v>0</v>
      </c>
      <c r="Z170" s="128">
        <v>0.01933</v>
      </c>
      <c r="AA170" s="129">
        <f>$Z$170*$K$170</f>
        <v>0.03866</v>
      </c>
      <c r="AR170" s="6" t="s">
        <v>219</v>
      </c>
      <c r="AT170" s="6" t="s">
        <v>164</v>
      </c>
      <c r="AU170" s="6" t="s">
        <v>141</v>
      </c>
      <c r="AY170" s="6" t="s">
        <v>163</v>
      </c>
      <c r="BE170" s="82">
        <f>IF($U$170="základní",$N$170,0)</f>
        <v>0</v>
      </c>
      <c r="BF170" s="82">
        <f>IF($U$170="snížená",$N$170,0)</f>
        <v>0</v>
      </c>
      <c r="BG170" s="82">
        <f>IF($U$170="zákl. přenesená",$N$170,0)</f>
        <v>0</v>
      </c>
      <c r="BH170" s="82">
        <f>IF($U$170="sníž. přenesená",$N$170,0)</f>
        <v>0</v>
      </c>
      <c r="BI170" s="82">
        <f>IF($U$170="nulová",$N$170,0)</f>
        <v>0</v>
      </c>
      <c r="BJ170" s="6" t="s">
        <v>141</v>
      </c>
      <c r="BK170" s="82">
        <f>ROUND($L$170*$K$170,2)</f>
        <v>0</v>
      </c>
      <c r="BL170" s="6" t="s">
        <v>219</v>
      </c>
    </row>
    <row r="171" spans="2:64" s="6" customFormat="1" ht="27" customHeight="1">
      <c r="B171" s="21"/>
      <c r="C171" s="123" t="s">
        <v>241</v>
      </c>
      <c r="D171" s="123" t="s">
        <v>164</v>
      </c>
      <c r="E171" s="124" t="s">
        <v>366</v>
      </c>
      <c r="F171" s="205" t="s">
        <v>367</v>
      </c>
      <c r="G171" s="206"/>
      <c r="H171" s="206"/>
      <c r="I171" s="206"/>
      <c r="J171" s="125" t="s">
        <v>244</v>
      </c>
      <c r="K171" s="126">
        <v>2</v>
      </c>
      <c r="L171" s="207">
        <v>0</v>
      </c>
      <c r="M171" s="206"/>
      <c r="N171" s="208">
        <f>ROUND($L$171*$K$171,2)</f>
        <v>0</v>
      </c>
      <c r="O171" s="206"/>
      <c r="P171" s="206"/>
      <c r="Q171" s="206"/>
      <c r="R171" s="22"/>
      <c r="T171" s="127"/>
      <c r="U171" s="28" t="s">
        <v>42</v>
      </c>
      <c r="V171" s="128">
        <v>1.4</v>
      </c>
      <c r="W171" s="128">
        <f>$V$171*$K$171</f>
        <v>2.8</v>
      </c>
      <c r="X171" s="128">
        <v>0.02407</v>
      </c>
      <c r="Y171" s="128">
        <f>$X$171*$K$171</f>
        <v>0.04814</v>
      </c>
      <c r="Z171" s="128">
        <v>0</v>
      </c>
      <c r="AA171" s="129">
        <f>$Z$171*$K$171</f>
        <v>0</v>
      </c>
      <c r="AR171" s="6" t="s">
        <v>219</v>
      </c>
      <c r="AT171" s="6" t="s">
        <v>164</v>
      </c>
      <c r="AU171" s="6" t="s">
        <v>141</v>
      </c>
      <c r="AY171" s="6" t="s">
        <v>163</v>
      </c>
      <c r="BE171" s="82">
        <f>IF($U$171="základní",$N$171,0)</f>
        <v>0</v>
      </c>
      <c r="BF171" s="82">
        <f>IF($U$171="snížená",$N$171,0)</f>
        <v>0</v>
      </c>
      <c r="BG171" s="82">
        <f>IF($U$171="zákl. přenesená",$N$171,0)</f>
        <v>0</v>
      </c>
      <c r="BH171" s="82">
        <f>IF($U$171="sníž. přenesená",$N$171,0)</f>
        <v>0</v>
      </c>
      <c r="BI171" s="82">
        <f>IF($U$171="nulová",$N$171,0)</f>
        <v>0</v>
      </c>
      <c r="BJ171" s="6" t="s">
        <v>141</v>
      </c>
      <c r="BK171" s="82">
        <f>ROUND($L$171*$K$171,2)</f>
        <v>0</v>
      </c>
      <c r="BL171" s="6" t="s">
        <v>219</v>
      </c>
    </row>
    <row r="172" spans="2:64" s="6" customFormat="1" ht="15.75" customHeight="1">
      <c r="B172" s="21"/>
      <c r="C172" s="123" t="s">
        <v>245</v>
      </c>
      <c r="D172" s="123" t="s">
        <v>164</v>
      </c>
      <c r="E172" s="124" t="s">
        <v>246</v>
      </c>
      <c r="F172" s="205" t="s">
        <v>247</v>
      </c>
      <c r="G172" s="206"/>
      <c r="H172" s="206"/>
      <c r="I172" s="206"/>
      <c r="J172" s="125" t="s">
        <v>244</v>
      </c>
      <c r="K172" s="126">
        <v>1</v>
      </c>
      <c r="L172" s="207">
        <v>0</v>
      </c>
      <c r="M172" s="206"/>
      <c r="N172" s="208">
        <f>ROUND($L$172*$K$172,2)</f>
        <v>0</v>
      </c>
      <c r="O172" s="206"/>
      <c r="P172" s="206"/>
      <c r="Q172" s="206"/>
      <c r="R172" s="22"/>
      <c r="T172" s="127"/>
      <c r="U172" s="28" t="s">
        <v>42</v>
      </c>
      <c r="V172" s="128">
        <v>0.362</v>
      </c>
      <c r="W172" s="128">
        <f>$V$172*$K$172</f>
        <v>0.362</v>
      </c>
      <c r="X172" s="128">
        <v>0</v>
      </c>
      <c r="Y172" s="128">
        <f>$X$172*$K$172</f>
        <v>0</v>
      </c>
      <c r="Z172" s="128">
        <v>0.01946</v>
      </c>
      <c r="AA172" s="129">
        <f>$Z$172*$K$172</f>
        <v>0.01946</v>
      </c>
      <c r="AR172" s="6" t="s">
        <v>219</v>
      </c>
      <c r="AT172" s="6" t="s">
        <v>164</v>
      </c>
      <c r="AU172" s="6" t="s">
        <v>141</v>
      </c>
      <c r="AY172" s="6" t="s">
        <v>163</v>
      </c>
      <c r="BE172" s="82">
        <f>IF($U$172="základní",$N$172,0)</f>
        <v>0</v>
      </c>
      <c r="BF172" s="82">
        <f>IF($U$172="snížená",$N$172,0)</f>
        <v>0</v>
      </c>
      <c r="BG172" s="82">
        <f>IF($U$172="zákl. přenesená",$N$172,0)</f>
        <v>0</v>
      </c>
      <c r="BH172" s="82">
        <f>IF($U$172="sníž. přenesená",$N$172,0)</f>
        <v>0</v>
      </c>
      <c r="BI172" s="82">
        <f>IF($U$172="nulová",$N$172,0)</f>
        <v>0</v>
      </c>
      <c r="BJ172" s="6" t="s">
        <v>141</v>
      </c>
      <c r="BK172" s="82">
        <f>ROUND($L$172*$K$172,2)</f>
        <v>0</v>
      </c>
      <c r="BL172" s="6" t="s">
        <v>219</v>
      </c>
    </row>
    <row r="173" spans="2:64" s="6" customFormat="1" ht="27" customHeight="1">
      <c r="B173" s="21"/>
      <c r="C173" s="123" t="s">
        <v>248</v>
      </c>
      <c r="D173" s="123" t="s">
        <v>164</v>
      </c>
      <c r="E173" s="124" t="s">
        <v>368</v>
      </c>
      <c r="F173" s="205" t="s">
        <v>369</v>
      </c>
      <c r="G173" s="206"/>
      <c r="H173" s="206"/>
      <c r="I173" s="206"/>
      <c r="J173" s="125" t="s">
        <v>244</v>
      </c>
      <c r="K173" s="126">
        <v>1</v>
      </c>
      <c r="L173" s="207">
        <v>0</v>
      </c>
      <c r="M173" s="206"/>
      <c r="N173" s="208">
        <f>ROUND($L$173*$K$173,2)</f>
        <v>0</v>
      </c>
      <c r="O173" s="206"/>
      <c r="P173" s="206"/>
      <c r="Q173" s="206"/>
      <c r="R173" s="22"/>
      <c r="T173" s="127"/>
      <c r="U173" s="28" t="s">
        <v>42</v>
      </c>
      <c r="V173" s="128">
        <v>1.1</v>
      </c>
      <c r="W173" s="128">
        <f>$V$173*$K$173</f>
        <v>1.1</v>
      </c>
      <c r="X173" s="128">
        <v>0.01558</v>
      </c>
      <c r="Y173" s="128">
        <f>$X$173*$K$173</f>
        <v>0.01558</v>
      </c>
      <c r="Z173" s="128">
        <v>0</v>
      </c>
      <c r="AA173" s="129">
        <f>$Z$173*$K$173</f>
        <v>0</v>
      </c>
      <c r="AR173" s="6" t="s">
        <v>219</v>
      </c>
      <c r="AT173" s="6" t="s">
        <v>164</v>
      </c>
      <c r="AU173" s="6" t="s">
        <v>141</v>
      </c>
      <c r="AY173" s="6" t="s">
        <v>163</v>
      </c>
      <c r="BE173" s="82">
        <f>IF($U$173="základní",$N$173,0)</f>
        <v>0</v>
      </c>
      <c r="BF173" s="82">
        <f>IF($U$173="snížená",$N$173,0)</f>
        <v>0</v>
      </c>
      <c r="BG173" s="82">
        <f>IF($U$173="zákl. přenesená",$N$173,0)</f>
        <v>0</v>
      </c>
      <c r="BH173" s="82">
        <f>IF($U$173="sníž. přenesená",$N$173,0)</f>
        <v>0</v>
      </c>
      <c r="BI173" s="82">
        <f>IF($U$173="nulová",$N$173,0)</f>
        <v>0</v>
      </c>
      <c r="BJ173" s="6" t="s">
        <v>141</v>
      </c>
      <c r="BK173" s="82">
        <f>ROUND($L$173*$K$173,2)</f>
        <v>0</v>
      </c>
      <c r="BL173" s="6" t="s">
        <v>219</v>
      </c>
    </row>
    <row r="174" spans="2:64" s="6" customFormat="1" ht="15.75" customHeight="1">
      <c r="B174" s="21"/>
      <c r="C174" s="123" t="s">
        <v>251</v>
      </c>
      <c r="D174" s="123" t="s">
        <v>164</v>
      </c>
      <c r="E174" s="124" t="s">
        <v>249</v>
      </c>
      <c r="F174" s="205" t="s">
        <v>250</v>
      </c>
      <c r="G174" s="206"/>
      <c r="H174" s="206"/>
      <c r="I174" s="206"/>
      <c r="J174" s="125" t="s">
        <v>244</v>
      </c>
      <c r="K174" s="126">
        <v>1</v>
      </c>
      <c r="L174" s="207">
        <v>0</v>
      </c>
      <c r="M174" s="206"/>
      <c r="N174" s="208">
        <f>ROUND($L$174*$K$174,2)</f>
        <v>0</v>
      </c>
      <c r="O174" s="206"/>
      <c r="P174" s="206"/>
      <c r="Q174" s="206"/>
      <c r="R174" s="22"/>
      <c r="T174" s="127"/>
      <c r="U174" s="28" t="s">
        <v>42</v>
      </c>
      <c r="V174" s="128">
        <v>0.217</v>
      </c>
      <c r="W174" s="128">
        <f>$V$174*$K$174</f>
        <v>0.217</v>
      </c>
      <c r="X174" s="128">
        <v>0</v>
      </c>
      <c r="Y174" s="128">
        <f>$X$174*$K$174</f>
        <v>0</v>
      </c>
      <c r="Z174" s="128">
        <v>0.00156</v>
      </c>
      <c r="AA174" s="129">
        <f>$Z$174*$K$174</f>
        <v>0.00156</v>
      </c>
      <c r="AR174" s="6" t="s">
        <v>219</v>
      </c>
      <c r="AT174" s="6" t="s">
        <v>164</v>
      </c>
      <c r="AU174" s="6" t="s">
        <v>141</v>
      </c>
      <c r="AY174" s="6" t="s">
        <v>163</v>
      </c>
      <c r="BE174" s="82">
        <f>IF($U$174="základní",$N$174,0)</f>
        <v>0</v>
      </c>
      <c r="BF174" s="82">
        <f>IF($U$174="snížená",$N$174,0)</f>
        <v>0</v>
      </c>
      <c r="BG174" s="82">
        <f>IF($U$174="zákl. přenesená",$N$174,0)</f>
        <v>0</v>
      </c>
      <c r="BH174" s="82">
        <f>IF($U$174="sníž. přenesená",$N$174,0)</f>
        <v>0</v>
      </c>
      <c r="BI174" s="82">
        <f>IF($U$174="nulová",$N$174,0)</f>
        <v>0</v>
      </c>
      <c r="BJ174" s="6" t="s">
        <v>141</v>
      </c>
      <c r="BK174" s="82">
        <f>ROUND($L$174*$K$174,2)</f>
        <v>0</v>
      </c>
      <c r="BL174" s="6" t="s">
        <v>219</v>
      </c>
    </row>
    <row r="175" spans="2:64" s="6" customFormat="1" ht="27" customHeight="1">
      <c r="B175" s="21"/>
      <c r="C175" s="123" t="s">
        <v>254</v>
      </c>
      <c r="D175" s="123" t="s">
        <v>164</v>
      </c>
      <c r="E175" s="124" t="s">
        <v>370</v>
      </c>
      <c r="F175" s="205" t="s">
        <v>371</v>
      </c>
      <c r="G175" s="206"/>
      <c r="H175" s="206"/>
      <c r="I175" s="206"/>
      <c r="J175" s="125" t="s">
        <v>244</v>
      </c>
      <c r="K175" s="126">
        <v>1</v>
      </c>
      <c r="L175" s="207">
        <v>0</v>
      </c>
      <c r="M175" s="206"/>
      <c r="N175" s="208">
        <f>ROUND($L$175*$K$175,2)</f>
        <v>0</v>
      </c>
      <c r="O175" s="206"/>
      <c r="P175" s="206"/>
      <c r="Q175" s="206"/>
      <c r="R175" s="22"/>
      <c r="T175" s="127"/>
      <c r="U175" s="28" t="s">
        <v>42</v>
      </c>
      <c r="V175" s="128">
        <v>0.2</v>
      </c>
      <c r="W175" s="128">
        <f>$V$175*$K$175</f>
        <v>0.2</v>
      </c>
      <c r="X175" s="128">
        <v>0.00154</v>
      </c>
      <c r="Y175" s="128">
        <f>$X$175*$K$175</f>
        <v>0.00154</v>
      </c>
      <c r="Z175" s="128">
        <v>0</v>
      </c>
      <c r="AA175" s="129">
        <f>$Z$175*$K$175</f>
        <v>0</v>
      </c>
      <c r="AR175" s="6" t="s">
        <v>219</v>
      </c>
      <c r="AT175" s="6" t="s">
        <v>164</v>
      </c>
      <c r="AU175" s="6" t="s">
        <v>141</v>
      </c>
      <c r="AY175" s="6" t="s">
        <v>163</v>
      </c>
      <c r="BE175" s="82">
        <f>IF($U$175="základní",$N$175,0)</f>
        <v>0</v>
      </c>
      <c r="BF175" s="82">
        <f>IF($U$175="snížená",$N$175,0)</f>
        <v>0</v>
      </c>
      <c r="BG175" s="82">
        <f>IF($U$175="zákl. přenesená",$N$175,0)</f>
        <v>0</v>
      </c>
      <c r="BH175" s="82">
        <f>IF($U$175="sníž. přenesená",$N$175,0)</f>
        <v>0</v>
      </c>
      <c r="BI175" s="82">
        <f>IF($U$175="nulová",$N$175,0)</f>
        <v>0</v>
      </c>
      <c r="BJ175" s="6" t="s">
        <v>141</v>
      </c>
      <c r="BK175" s="82">
        <f>ROUND($L$175*$K$175,2)</f>
        <v>0</v>
      </c>
      <c r="BL175" s="6" t="s">
        <v>219</v>
      </c>
    </row>
    <row r="176" spans="2:64" s="6" customFormat="1" ht="15.75" customHeight="1">
      <c r="B176" s="21"/>
      <c r="C176" s="123" t="s">
        <v>257</v>
      </c>
      <c r="D176" s="123" t="s">
        <v>164</v>
      </c>
      <c r="E176" s="124" t="s">
        <v>252</v>
      </c>
      <c r="F176" s="205" t="s">
        <v>253</v>
      </c>
      <c r="G176" s="206"/>
      <c r="H176" s="206"/>
      <c r="I176" s="206"/>
      <c r="J176" s="125" t="s">
        <v>167</v>
      </c>
      <c r="K176" s="126">
        <v>1</v>
      </c>
      <c r="L176" s="207">
        <v>0</v>
      </c>
      <c r="M176" s="206"/>
      <c r="N176" s="208">
        <f>ROUND($L$176*$K$176,2)</f>
        <v>0</v>
      </c>
      <c r="O176" s="206"/>
      <c r="P176" s="206"/>
      <c r="Q176" s="206"/>
      <c r="R176" s="22"/>
      <c r="T176" s="127"/>
      <c r="U176" s="28" t="s">
        <v>42</v>
      </c>
      <c r="V176" s="128">
        <v>0.038</v>
      </c>
      <c r="W176" s="128">
        <f>$V$176*$K$176</f>
        <v>0.038</v>
      </c>
      <c r="X176" s="128">
        <v>0</v>
      </c>
      <c r="Y176" s="128">
        <f>$X$176*$K$176</f>
        <v>0</v>
      </c>
      <c r="Z176" s="128">
        <v>0.00085</v>
      </c>
      <c r="AA176" s="129">
        <f>$Z$176*$K$176</f>
        <v>0.00085</v>
      </c>
      <c r="AR176" s="6" t="s">
        <v>219</v>
      </c>
      <c r="AT176" s="6" t="s">
        <v>164</v>
      </c>
      <c r="AU176" s="6" t="s">
        <v>141</v>
      </c>
      <c r="AY176" s="6" t="s">
        <v>163</v>
      </c>
      <c r="BE176" s="82">
        <f>IF($U$176="základní",$N$176,0)</f>
        <v>0</v>
      </c>
      <c r="BF176" s="82">
        <f>IF($U$176="snížená",$N$176,0)</f>
        <v>0</v>
      </c>
      <c r="BG176" s="82">
        <f>IF($U$176="zákl. přenesená",$N$176,0)</f>
        <v>0</v>
      </c>
      <c r="BH176" s="82">
        <f>IF($U$176="sníž. přenesená",$N$176,0)</f>
        <v>0</v>
      </c>
      <c r="BI176" s="82">
        <f>IF($U$176="nulová",$N$176,0)</f>
        <v>0</v>
      </c>
      <c r="BJ176" s="6" t="s">
        <v>141</v>
      </c>
      <c r="BK176" s="82">
        <f>ROUND($L$176*$K$176,2)</f>
        <v>0</v>
      </c>
      <c r="BL176" s="6" t="s">
        <v>219</v>
      </c>
    </row>
    <row r="177" spans="2:64" s="6" customFormat="1" ht="27" customHeight="1">
      <c r="B177" s="21"/>
      <c r="C177" s="123" t="s">
        <v>260</v>
      </c>
      <c r="D177" s="123" t="s">
        <v>164</v>
      </c>
      <c r="E177" s="124" t="s">
        <v>255</v>
      </c>
      <c r="F177" s="205" t="s">
        <v>256</v>
      </c>
      <c r="G177" s="206"/>
      <c r="H177" s="206"/>
      <c r="I177" s="206"/>
      <c r="J177" s="125" t="s">
        <v>240</v>
      </c>
      <c r="K177" s="140">
        <v>0</v>
      </c>
      <c r="L177" s="207">
        <v>0</v>
      </c>
      <c r="M177" s="206"/>
      <c r="N177" s="208">
        <f>ROUND($L$177*$K$177,2)</f>
        <v>0</v>
      </c>
      <c r="O177" s="206"/>
      <c r="P177" s="206"/>
      <c r="Q177" s="206"/>
      <c r="R177" s="22"/>
      <c r="T177" s="127"/>
      <c r="U177" s="28" t="s">
        <v>42</v>
      </c>
      <c r="V177" s="128">
        <v>0</v>
      </c>
      <c r="W177" s="128">
        <f>$V$177*$K$177</f>
        <v>0</v>
      </c>
      <c r="X177" s="128">
        <v>0</v>
      </c>
      <c r="Y177" s="128">
        <f>$X$177*$K$177</f>
        <v>0</v>
      </c>
      <c r="Z177" s="128">
        <v>0</v>
      </c>
      <c r="AA177" s="129">
        <f>$Z$177*$K$177</f>
        <v>0</v>
      </c>
      <c r="AR177" s="6" t="s">
        <v>219</v>
      </c>
      <c r="AT177" s="6" t="s">
        <v>164</v>
      </c>
      <c r="AU177" s="6" t="s">
        <v>141</v>
      </c>
      <c r="AY177" s="6" t="s">
        <v>163</v>
      </c>
      <c r="BE177" s="82">
        <f>IF($U$177="základní",$N$177,0)</f>
        <v>0</v>
      </c>
      <c r="BF177" s="82">
        <f>IF($U$177="snížená",$N$177,0)</f>
        <v>0</v>
      </c>
      <c r="BG177" s="82">
        <f>IF($U$177="zákl. přenesená",$N$177,0)</f>
        <v>0</v>
      </c>
      <c r="BH177" s="82">
        <f>IF($U$177="sníž. přenesená",$N$177,0)</f>
        <v>0</v>
      </c>
      <c r="BI177" s="82">
        <f>IF($U$177="nulová",$N$177,0)</f>
        <v>0</v>
      </c>
      <c r="BJ177" s="6" t="s">
        <v>141</v>
      </c>
      <c r="BK177" s="82">
        <f>ROUND($L$177*$K$177,2)</f>
        <v>0</v>
      </c>
      <c r="BL177" s="6" t="s">
        <v>219</v>
      </c>
    </row>
    <row r="178" spans="2:63" s="113" customFormat="1" ht="30.75" customHeight="1">
      <c r="B178" s="114"/>
      <c r="D178" s="122" t="s">
        <v>134</v>
      </c>
      <c r="N178" s="223">
        <f>$BK$178</f>
        <v>0</v>
      </c>
      <c r="O178" s="222"/>
      <c r="P178" s="222"/>
      <c r="Q178" s="222"/>
      <c r="R178" s="117"/>
      <c r="T178" s="118"/>
      <c r="W178" s="119">
        <f>SUM($W$179:$W$184)</f>
        <v>4.444000000000001</v>
      </c>
      <c r="Y178" s="119">
        <f>SUM($Y$179:$Y$184)</f>
        <v>0.11750000000000001</v>
      </c>
      <c r="AA178" s="120">
        <f>SUM($AA$179:$AA$184)</f>
        <v>0.312</v>
      </c>
      <c r="AR178" s="116" t="s">
        <v>141</v>
      </c>
      <c r="AT178" s="116" t="s">
        <v>74</v>
      </c>
      <c r="AU178" s="116" t="s">
        <v>17</v>
      </c>
      <c r="AY178" s="116" t="s">
        <v>163</v>
      </c>
      <c r="BK178" s="121">
        <f>SUM($BK$179:$BK$184)</f>
        <v>0</v>
      </c>
    </row>
    <row r="179" spans="2:64" s="6" customFormat="1" ht="15.75" customHeight="1">
      <c r="B179" s="21"/>
      <c r="C179" s="123" t="s">
        <v>264</v>
      </c>
      <c r="D179" s="123" t="s">
        <v>164</v>
      </c>
      <c r="E179" s="124" t="s">
        <v>258</v>
      </c>
      <c r="F179" s="205" t="s">
        <v>259</v>
      </c>
      <c r="G179" s="206"/>
      <c r="H179" s="206"/>
      <c r="I179" s="206"/>
      <c r="J179" s="125" t="s">
        <v>167</v>
      </c>
      <c r="K179" s="126">
        <v>7</v>
      </c>
      <c r="L179" s="207">
        <v>0</v>
      </c>
      <c r="M179" s="206"/>
      <c r="N179" s="208">
        <f>ROUND($L$179*$K$179,2)</f>
        <v>0</v>
      </c>
      <c r="O179" s="206"/>
      <c r="P179" s="206"/>
      <c r="Q179" s="206"/>
      <c r="R179" s="22"/>
      <c r="T179" s="127"/>
      <c r="U179" s="28" t="s">
        <v>42</v>
      </c>
      <c r="V179" s="128">
        <v>0.542</v>
      </c>
      <c r="W179" s="128">
        <f>$V$179*$K$179</f>
        <v>3.7940000000000005</v>
      </c>
      <c r="X179" s="128">
        <v>0</v>
      </c>
      <c r="Y179" s="128">
        <f>$X$179*$K$179</f>
        <v>0</v>
      </c>
      <c r="Z179" s="128">
        <v>0</v>
      </c>
      <c r="AA179" s="129">
        <f>$Z$179*$K$179</f>
        <v>0</v>
      </c>
      <c r="AR179" s="6" t="s">
        <v>219</v>
      </c>
      <c r="AT179" s="6" t="s">
        <v>164</v>
      </c>
      <c r="AU179" s="6" t="s">
        <v>141</v>
      </c>
      <c r="AY179" s="6" t="s">
        <v>163</v>
      </c>
      <c r="BE179" s="82">
        <f>IF($U$179="základní",$N$179,0)</f>
        <v>0</v>
      </c>
      <c r="BF179" s="82">
        <f>IF($U$179="snížená",$N$179,0)</f>
        <v>0</v>
      </c>
      <c r="BG179" s="82">
        <f>IF($U$179="zákl. přenesená",$N$179,0)</f>
        <v>0</v>
      </c>
      <c r="BH179" s="82">
        <f>IF($U$179="sníž. přenesená",$N$179,0)</f>
        <v>0</v>
      </c>
      <c r="BI179" s="82">
        <f>IF($U$179="nulová",$N$179,0)</f>
        <v>0</v>
      </c>
      <c r="BJ179" s="6" t="s">
        <v>141</v>
      </c>
      <c r="BK179" s="82">
        <f>ROUND($L$179*$K$179,2)</f>
        <v>0</v>
      </c>
      <c r="BL179" s="6" t="s">
        <v>219</v>
      </c>
    </row>
    <row r="180" spans="2:64" s="6" customFormat="1" ht="15.75" customHeight="1">
      <c r="B180" s="21"/>
      <c r="C180" s="136" t="s">
        <v>267</v>
      </c>
      <c r="D180" s="136" t="s">
        <v>190</v>
      </c>
      <c r="E180" s="137" t="s">
        <v>261</v>
      </c>
      <c r="F180" s="211" t="s">
        <v>262</v>
      </c>
      <c r="G180" s="212"/>
      <c r="H180" s="212"/>
      <c r="I180" s="212"/>
      <c r="J180" s="138" t="s">
        <v>167</v>
      </c>
      <c r="K180" s="139">
        <v>7</v>
      </c>
      <c r="L180" s="213">
        <v>0</v>
      </c>
      <c r="M180" s="212"/>
      <c r="N180" s="214">
        <f>ROUND($L$180*$K$180,2)</f>
        <v>0</v>
      </c>
      <c r="O180" s="206"/>
      <c r="P180" s="206"/>
      <c r="Q180" s="206"/>
      <c r="R180" s="22"/>
      <c r="T180" s="127"/>
      <c r="U180" s="28" t="s">
        <v>42</v>
      </c>
      <c r="V180" s="128">
        <v>0</v>
      </c>
      <c r="W180" s="128">
        <f>$V$180*$K$180</f>
        <v>0</v>
      </c>
      <c r="X180" s="128">
        <v>0.001</v>
      </c>
      <c r="Y180" s="128">
        <f>$X$180*$K$180</f>
        <v>0.007</v>
      </c>
      <c r="Z180" s="128">
        <v>0</v>
      </c>
      <c r="AA180" s="129">
        <f>$Z$180*$K$180</f>
        <v>0</v>
      </c>
      <c r="AR180" s="6" t="s">
        <v>263</v>
      </c>
      <c r="AT180" s="6" t="s">
        <v>190</v>
      </c>
      <c r="AU180" s="6" t="s">
        <v>141</v>
      </c>
      <c r="AY180" s="6" t="s">
        <v>163</v>
      </c>
      <c r="BE180" s="82">
        <f>IF($U$180="základní",$N$180,0)</f>
        <v>0</v>
      </c>
      <c r="BF180" s="82">
        <f>IF($U$180="snížená",$N$180,0)</f>
        <v>0</v>
      </c>
      <c r="BG180" s="82">
        <f>IF($U$180="zákl. přenesená",$N$180,0)</f>
        <v>0</v>
      </c>
      <c r="BH180" s="82">
        <f>IF($U$180="sníž. přenesená",$N$180,0)</f>
        <v>0</v>
      </c>
      <c r="BI180" s="82">
        <f>IF($U$180="nulová",$N$180,0)</f>
        <v>0</v>
      </c>
      <c r="BJ180" s="6" t="s">
        <v>141</v>
      </c>
      <c r="BK180" s="82">
        <f>ROUND($L$180*$K$180,2)</f>
        <v>0</v>
      </c>
      <c r="BL180" s="6" t="s">
        <v>219</v>
      </c>
    </row>
    <row r="181" spans="2:64" s="6" customFormat="1" ht="27" customHeight="1">
      <c r="B181" s="21"/>
      <c r="C181" s="123" t="s">
        <v>263</v>
      </c>
      <c r="D181" s="123" t="s">
        <v>164</v>
      </c>
      <c r="E181" s="124" t="s">
        <v>265</v>
      </c>
      <c r="F181" s="205" t="s">
        <v>266</v>
      </c>
      <c r="G181" s="206"/>
      <c r="H181" s="206"/>
      <c r="I181" s="206"/>
      <c r="J181" s="125" t="s">
        <v>167</v>
      </c>
      <c r="K181" s="126">
        <v>13</v>
      </c>
      <c r="L181" s="207">
        <v>0</v>
      </c>
      <c r="M181" s="206"/>
      <c r="N181" s="208">
        <f>ROUND($L$181*$K$181,2)</f>
        <v>0</v>
      </c>
      <c r="O181" s="206"/>
      <c r="P181" s="206"/>
      <c r="Q181" s="206"/>
      <c r="R181" s="22"/>
      <c r="T181" s="127"/>
      <c r="U181" s="28" t="s">
        <v>42</v>
      </c>
      <c r="V181" s="128">
        <v>0.05</v>
      </c>
      <c r="W181" s="128">
        <f>$V$181*$K$181</f>
        <v>0.65</v>
      </c>
      <c r="X181" s="128">
        <v>0</v>
      </c>
      <c r="Y181" s="128">
        <f>$X$181*$K$181</f>
        <v>0</v>
      </c>
      <c r="Z181" s="128">
        <v>0.024</v>
      </c>
      <c r="AA181" s="129">
        <f>$Z$181*$K$181</f>
        <v>0.312</v>
      </c>
      <c r="AR181" s="6" t="s">
        <v>219</v>
      </c>
      <c r="AT181" s="6" t="s">
        <v>164</v>
      </c>
      <c r="AU181" s="6" t="s">
        <v>141</v>
      </c>
      <c r="AY181" s="6" t="s">
        <v>163</v>
      </c>
      <c r="BE181" s="82">
        <f>IF($U$181="základní",$N$181,0)</f>
        <v>0</v>
      </c>
      <c r="BF181" s="82">
        <f>IF($U$181="snížená",$N$181,0)</f>
        <v>0</v>
      </c>
      <c r="BG181" s="82">
        <f>IF($U$181="zákl. přenesená",$N$181,0)</f>
        <v>0</v>
      </c>
      <c r="BH181" s="82">
        <f>IF($U$181="sníž. přenesená",$N$181,0)</f>
        <v>0</v>
      </c>
      <c r="BI181" s="82">
        <f>IF($U$181="nulová",$N$181,0)</f>
        <v>0</v>
      </c>
      <c r="BJ181" s="6" t="s">
        <v>141</v>
      </c>
      <c r="BK181" s="82">
        <f>ROUND($L$181*$K$181,2)</f>
        <v>0</v>
      </c>
      <c r="BL181" s="6" t="s">
        <v>219</v>
      </c>
    </row>
    <row r="182" spans="2:64" s="6" customFormat="1" ht="27" customHeight="1">
      <c r="B182" s="21"/>
      <c r="C182" s="136" t="s">
        <v>272</v>
      </c>
      <c r="D182" s="136" t="s">
        <v>190</v>
      </c>
      <c r="E182" s="137" t="s">
        <v>268</v>
      </c>
      <c r="F182" s="211" t="s">
        <v>269</v>
      </c>
      <c r="G182" s="212"/>
      <c r="H182" s="212"/>
      <c r="I182" s="212"/>
      <c r="J182" s="138" t="s">
        <v>167</v>
      </c>
      <c r="K182" s="139">
        <v>6</v>
      </c>
      <c r="L182" s="213">
        <v>0</v>
      </c>
      <c r="M182" s="212"/>
      <c r="N182" s="214">
        <f>ROUND($L$182*$K$182,2)</f>
        <v>0</v>
      </c>
      <c r="O182" s="206"/>
      <c r="P182" s="206"/>
      <c r="Q182" s="206"/>
      <c r="R182" s="22"/>
      <c r="T182" s="127"/>
      <c r="U182" s="28" t="s">
        <v>42</v>
      </c>
      <c r="V182" s="128">
        <v>0</v>
      </c>
      <c r="W182" s="128">
        <f>$V$182*$K$182</f>
        <v>0</v>
      </c>
      <c r="X182" s="128">
        <v>0.0155</v>
      </c>
      <c r="Y182" s="128">
        <f>$X$182*$K$182</f>
        <v>0.093</v>
      </c>
      <c r="Z182" s="128">
        <v>0</v>
      </c>
      <c r="AA182" s="129">
        <f>$Z$182*$K$182</f>
        <v>0</v>
      </c>
      <c r="AR182" s="6" t="s">
        <v>263</v>
      </c>
      <c r="AT182" s="6" t="s">
        <v>190</v>
      </c>
      <c r="AU182" s="6" t="s">
        <v>141</v>
      </c>
      <c r="AY182" s="6" t="s">
        <v>163</v>
      </c>
      <c r="BE182" s="82">
        <f>IF($U$182="základní",$N$182,0)</f>
        <v>0</v>
      </c>
      <c r="BF182" s="82">
        <f>IF($U$182="snížená",$N$182,0)</f>
        <v>0</v>
      </c>
      <c r="BG182" s="82">
        <f>IF($U$182="zákl. přenesená",$N$182,0)</f>
        <v>0</v>
      </c>
      <c r="BH182" s="82">
        <f>IF($U$182="sníž. přenesená",$N$182,0)</f>
        <v>0</v>
      </c>
      <c r="BI182" s="82">
        <f>IF($U$182="nulová",$N$182,0)</f>
        <v>0</v>
      </c>
      <c r="BJ182" s="6" t="s">
        <v>141</v>
      </c>
      <c r="BK182" s="82">
        <f>ROUND($L$182*$K$182,2)</f>
        <v>0</v>
      </c>
      <c r="BL182" s="6" t="s">
        <v>219</v>
      </c>
    </row>
    <row r="183" spans="2:64" s="6" customFormat="1" ht="27" customHeight="1">
      <c r="B183" s="21"/>
      <c r="C183" s="136" t="s">
        <v>275</v>
      </c>
      <c r="D183" s="136" t="s">
        <v>190</v>
      </c>
      <c r="E183" s="137" t="s">
        <v>270</v>
      </c>
      <c r="F183" s="211" t="s">
        <v>271</v>
      </c>
      <c r="G183" s="212"/>
      <c r="H183" s="212"/>
      <c r="I183" s="212"/>
      <c r="J183" s="138" t="s">
        <v>167</v>
      </c>
      <c r="K183" s="139">
        <v>1</v>
      </c>
      <c r="L183" s="213">
        <v>0</v>
      </c>
      <c r="M183" s="212"/>
      <c r="N183" s="214">
        <f>ROUND($L$183*$K$183,2)</f>
        <v>0</v>
      </c>
      <c r="O183" s="206"/>
      <c r="P183" s="206"/>
      <c r="Q183" s="206"/>
      <c r="R183" s="22"/>
      <c r="T183" s="127"/>
      <c r="U183" s="28" t="s">
        <v>42</v>
      </c>
      <c r="V183" s="128">
        <v>0</v>
      </c>
      <c r="W183" s="128">
        <f>$V$183*$K$183</f>
        <v>0</v>
      </c>
      <c r="X183" s="128">
        <v>0.0175</v>
      </c>
      <c r="Y183" s="128">
        <f>$X$183*$K$183</f>
        <v>0.0175</v>
      </c>
      <c r="Z183" s="128">
        <v>0</v>
      </c>
      <c r="AA183" s="129">
        <f>$Z$183*$K$183</f>
        <v>0</v>
      </c>
      <c r="AR183" s="6" t="s">
        <v>263</v>
      </c>
      <c r="AT183" s="6" t="s">
        <v>190</v>
      </c>
      <c r="AU183" s="6" t="s">
        <v>141</v>
      </c>
      <c r="AY183" s="6" t="s">
        <v>163</v>
      </c>
      <c r="BE183" s="82">
        <f>IF($U$183="základní",$N$183,0)</f>
        <v>0</v>
      </c>
      <c r="BF183" s="82">
        <f>IF($U$183="snížená",$N$183,0)</f>
        <v>0</v>
      </c>
      <c r="BG183" s="82">
        <f>IF($U$183="zákl. přenesená",$N$183,0)</f>
        <v>0</v>
      </c>
      <c r="BH183" s="82">
        <f>IF($U$183="sníž. přenesená",$N$183,0)</f>
        <v>0</v>
      </c>
      <c r="BI183" s="82">
        <f>IF($U$183="nulová",$N$183,0)</f>
        <v>0</v>
      </c>
      <c r="BJ183" s="6" t="s">
        <v>141</v>
      </c>
      <c r="BK183" s="82">
        <f>ROUND($L$183*$K$183,2)</f>
        <v>0</v>
      </c>
      <c r="BL183" s="6" t="s">
        <v>219</v>
      </c>
    </row>
    <row r="184" spans="2:64" s="6" customFormat="1" ht="27" customHeight="1">
      <c r="B184" s="21"/>
      <c r="C184" s="123" t="s">
        <v>279</v>
      </c>
      <c r="D184" s="123" t="s">
        <v>164</v>
      </c>
      <c r="E184" s="124" t="s">
        <v>273</v>
      </c>
      <c r="F184" s="205" t="s">
        <v>274</v>
      </c>
      <c r="G184" s="206"/>
      <c r="H184" s="206"/>
      <c r="I184" s="206"/>
      <c r="J184" s="125" t="s">
        <v>240</v>
      </c>
      <c r="K184" s="140">
        <v>0</v>
      </c>
      <c r="L184" s="207">
        <v>0</v>
      </c>
      <c r="M184" s="206"/>
      <c r="N184" s="208">
        <f>ROUND($L$184*$K$184,2)</f>
        <v>0</v>
      </c>
      <c r="O184" s="206"/>
      <c r="P184" s="206"/>
      <c r="Q184" s="206"/>
      <c r="R184" s="22"/>
      <c r="T184" s="127"/>
      <c r="U184" s="28" t="s">
        <v>42</v>
      </c>
      <c r="V184" s="128">
        <v>0</v>
      </c>
      <c r="W184" s="128">
        <f>$V$184*$K$184</f>
        <v>0</v>
      </c>
      <c r="X184" s="128">
        <v>0</v>
      </c>
      <c r="Y184" s="128">
        <f>$X$184*$K$184</f>
        <v>0</v>
      </c>
      <c r="Z184" s="128">
        <v>0</v>
      </c>
      <c r="AA184" s="129">
        <f>$Z$184*$K$184</f>
        <v>0</v>
      </c>
      <c r="AR184" s="6" t="s">
        <v>219</v>
      </c>
      <c r="AT184" s="6" t="s">
        <v>164</v>
      </c>
      <c r="AU184" s="6" t="s">
        <v>141</v>
      </c>
      <c r="AY184" s="6" t="s">
        <v>163</v>
      </c>
      <c r="BE184" s="82">
        <f>IF($U$184="základní",$N$184,0)</f>
        <v>0</v>
      </c>
      <c r="BF184" s="82">
        <f>IF($U$184="snížená",$N$184,0)</f>
        <v>0</v>
      </c>
      <c r="BG184" s="82">
        <f>IF($U$184="zákl. přenesená",$N$184,0)</f>
        <v>0</v>
      </c>
      <c r="BH184" s="82">
        <f>IF($U$184="sníž. přenesená",$N$184,0)</f>
        <v>0</v>
      </c>
      <c r="BI184" s="82">
        <f>IF($U$184="nulová",$N$184,0)</f>
        <v>0</v>
      </c>
      <c r="BJ184" s="6" t="s">
        <v>141</v>
      </c>
      <c r="BK184" s="82">
        <f>ROUND($L$184*$K$184,2)</f>
        <v>0</v>
      </c>
      <c r="BL184" s="6" t="s">
        <v>219</v>
      </c>
    </row>
    <row r="185" spans="2:63" s="113" customFormat="1" ht="30.75" customHeight="1">
      <c r="B185" s="114"/>
      <c r="D185" s="122" t="s">
        <v>135</v>
      </c>
      <c r="N185" s="223">
        <f>$BK$185</f>
        <v>0</v>
      </c>
      <c r="O185" s="222"/>
      <c r="P185" s="222"/>
      <c r="Q185" s="222"/>
      <c r="R185" s="117"/>
      <c r="T185" s="118"/>
      <c r="W185" s="119">
        <f>SUM($W$186:$W$191)</f>
        <v>29.372263</v>
      </c>
      <c r="Y185" s="119">
        <f>SUM($Y$186:$Y$191)</f>
        <v>0.018637010000000002</v>
      </c>
      <c r="AA185" s="120">
        <f>SUM($AA$186:$AA$191)</f>
        <v>0</v>
      </c>
      <c r="AR185" s="116" t="s">
        <v>141</v>
      </c>
      <c r="AT185" s="116" t="s">
        <v>74</v>
      </c>
      <c r="AU185" s="116" t="s">
        <v>17</v>
      </c>
      <c r="AY185" s="116" t="s">
        <v>163</v>
      </c>
      <c r="BK185" s="121">
        <f>SUM($BK$186:$BK$191)</f>
        <v>0</v>
      </c>
    </row>
    <row r="186" spans="2:64" s="6" customFormat="1" ht="27" customHeight="1">
      <c r="B186" s="21"/>
      <c r="C186" s="123" t="s">
        <v>282</v>
      </c>
      <c r="D186" s="123" t="s">
        <v>164</v>
      </c>
      <c r="E186" s="124" t="s">
        <v>276</v>
      </c>
      <c r="F186" s="205" t="s">
        <v>277</v>
      </c>
      <c r="G186" s="206"/>
      <c r="H186" s="206"/>
      <c r="I186" s="206"/>
      <c r="J186" s="125" t="s">
        <v>171</v>
      </c>
      <c r="K186" s="126">
        <v>7.678</v>
      </c>
      <c r="L186" s="207">
        <v>0</v>
      </c>
      <c r="M186" s="206"/>
      <c r="N186" s="208">
        <f>ROUND($L$186*$K$186,2)</f>
        <v>0</v>
      </c>
      <c r="O186" s="206"/>
      <c r="P186" s="206"/>
      <c r="Q186" s="206"/>
      <c r="R186" s="22"/>
      <c r="T186" s="127"/>
      <c r="U186" s="28" t="s">
        <v>42</v>
      </c>
      <c r="V186" s="128">
        <v>0.287</v>
      </c>
      <c r="W186" s="128">
        <f>$V$186*$K$186</f>
        <v>2.2035859999999996</v>
      </c>
      <c r="X186" s="128">
        <v>0.00016</v>
      </c>
      <c r="Y186" s="128">
        <f>$X$186*$K$186</f>
        <v>0.0012284800000000001</v>
      </c>
      <c r="Z186" s="128">
        <v>0</v>
      </c>
      <c r="AA186" s="129">
        <f>$Z$186*$K$186</f>
        <v>0</v>
      </c>
      <c r="AR186" s="6" t="s">
        <v>219</v>
      </c>
      <c r="AT186" s="6" t="s">
        <v>164</v>
      </c>
      <c r="AU186" s="6" t="s">
        <v>141</v>
      </c>
      <c r="AY186" s="6" t="s">
        <v>163</v>
      </c>
      <c r="BE186" s="82">
        <f>IF($U$186="základní",$N$186,0)</f>
        <v>0</v>
      </c>
      <c r="BF186" s="82">
        <f>IF($U$186="snížená",$N$186,0)</f>
        <v>0</v>
      </c>
      <c r="BG186" s="82">
        <f>IF($U$186="zákl. přenesená",$N$186,0)</f>
        <v>0</v>
      </c>
      <c r="BH186" s="82">
        <f>IF($U$186="sníž. přenesená",$N$186,0)</f>
        <v>0</v>
      </c>
      <c r="BI186" s="82">
        <f>IF($U$186="nulová",$N$186,0)</f>
        <v>0</v>
      </c>
      <c r="BJ186" s="6" t="s">
        <v>141</v>
      </c>
      <c r="BK186" s="82">
        <f>ROUND($L$186*$K$186,2)</f>
        <v>0</v>
      </c>
      <c r="BL186" s="6" t="s">
        <v>219</v>
      </c>
    </row>
    <row r="187" spans="2:51" s="6" customFormat="1" ht="15.75" customHeight="1">
      <c r="B187" s="130"/>
      <c r="E187" s="131"/>
      <c r="F187" s="209" t="s">
        <v>372</v>
      </c>
      <c r="G187" s="210"/>
      <c r="H187" s="210"/>
      <c r="I187" s="210"/>
      <c r="K187" s="132">
        <v>7.678</v>
      </c>
      <c r="R187" s="133"/>
      <c r="T187" s="134"/>
      <c r="AA187" s="135"/>
      <c r="AT187" s="131" t="s">
        <v>173</v>
      </c>
      <c r="AU187" s="131" t="s">
        <v>141</v>
      </c>
      <c r="AV187" s="131" t="s">
        <v>141</v>
      </c>
      <c r="AW187" s="131" t="s">
        <v>125</v>
      </c>
      <c r="AX187" s="131" t="s">
        <v>17</v>
      </c>
      <c r="AY187" s="131" t="s">
        <v>163</v>
      </c>
    </row>
    <row r="188" spans="2:64" s="6" customFormat="1" ht="39" customHeight="1">
      <c r="B188" s="21"/>
      <c r="C188" s="123" t="s">
        <v>287</v>
      </c>
      <c r="D188" s="123" t="s">
        <v>164</v>
      </c>
      <c r="E188" s="124" t="s">
        <v>280</v>
      </c>
      <c r="F188" s="205" t="s">
        <v>281</v>
      </c>
      <c r="G188" s="206"/>
      <c r="H188" s="206"/>
      <c r="I188" s="206"/>
      <c r="J188" s="125" t="s">
        <v>171</v>
      </c>
      <c r="K188" s="126">
        <v>45.805</v>
      </c>
      <c r="L188" s="207">
        <v>0</v>
      </c>
      <c r="M188" s="206"/>
      <c r="N188" s="208">
        <f>ROUND($L$188*$K$188,2)</f>
        <v>0</v>
      </c>
      <c r="O188" s="206"/>
      <c r="P188" s="206"/>
      <c r="Q188" s="206"/>
      <c r="R188" s="22"/>
      <c r="T188" s="127"/>
      <c r="U188" s="28" t="s">
        <v>42</v>
      </c>
      <c r="V188" s="128">
        <v>0.506</v>
      </c>
      <c r="W188" s="128">
        <f>$V$188*$K$188</f>
        <v>23.17733</v>
      </c>
      <c r="X188" s="128">
        <v>0.00032</v>
      </c>
      <c r="Y188" s="128">
        <f>$X$188*$K$188</f>
        <v>0.014657600000000002</v>
      </c>
      <c r="Z188" s="128">
        <v>0</v>
      </c>
      <c r="AA188" s="129">
        <f>$Z$188*$K$188</f>
        <v>0</v>
      </c>
      <c r="AR188" s="6" t="s">
        <v>219</v>
      </c>
      <c r="AT188" s="6" t="s">
        <v>164</v>
      </c>
      <c r="AU188" s="6" t="s">
        <v>141</v>
      </c>
      <c r="AY188" s="6" t="s">
        <v>163</v>
      </c>
      <c r="BE188" s="82">
        <f>IF($U$188="základní",$N$188,0)</f>
        <v>0</v>
      </c>
      <c r="BF188" s="82">
        <f>IF($U$188="snížená",$N$188,0)</f>
        <v>0</v>
      </c>
      <c r="BG188" s="82">
        <f>IF($U$188="zákl. přenesená",$N$188,0)</f>
        <v>0</v>
      </c>
      <c r="BH188" s="82">
        <f>IF($U$188="sníž. přenesená",$N$188,0)</f>
        <v>0</v>
      </c>
      <c r="BI188" s="82">
        <f>IF($U$188="nulová",$N$188,0)</f>
        <v>0</v>
      </c>
      <c r="BJ188" s="6" t="s">
        <v>141</v>
      </c>
      <c r="BK188" s="82">
        <f>ROUND($L$188*$K$188,2)</f>
        <v>0</v>
      </c>
      <c r="BL188" s="6" t="s">
        <v>219</v>
      </c>
    </row>
    <row r="189" spans="2:51" s="6" customFormat="1" ht="15.75" customHeight="1">
      <c r="B189" s="130"/>
      <c r="E189" s="131"/>
      <c r="F189" s="209" t="s">
        <v>373</v>
      </c>
      <c r="G189" s="210"/>
      <c r="H189" s="210"/>
      <c r="I189" s="210"/>
      <c r="K189" s="132">
        <v>45.805</v>
      </c>
      <c r="R189" s="133"/>
      <c r="T189" s="134"/>
      <c r="AA189" s="135"/>
      <c r="AT189" s="131" t="s">
        <v>173</v>
      </c>
      <c r="AU189" s="131" t="s">
        <v>141</v>
      </c>
      <c r="AV189" s="131" t="s">
        <v>141</v>
      </c>
      <c r="AW189" s="131" t="s">
        <v>125</v>
      </c>
      <c r="AX189" s="131" t="s">
        <v>17</v>
      </c>
      <c r="AY189" s="131" t="s">
        <v>163</v>
      </c>
    </row>
    <row r="190" spans="2:64" s="6" customFormat="1" ht="15.75" customHeight="1">
      <c r="B190" s="21"/>
      <c r="C190" s="123" t="s">
        <v>291</v>
      </c>
      <c r="D190" s="123" t="s">
        <v>164</v>
      </c>
      <c r="E190" s="124" t="s">
        <v>283</v>
      </c>
      <c r="F190" s="205" t="s">
        <v>284</v>
      </c>
      <c r="G190" s="206"/>
      <c r="H190" s="206"/>
      <c r="I190" s="206"/>
      <c r="J190" s="125" t="s">
        <v>171</v>
      </c>
      <c r="K190" s="126">
        <v>7.678</v>
      </c>
      <c r="L190" s="207">
        <v>0</v>
      </c>
      <c r="M190" s="206"/>
      <c r="N190" s="208">
        <f>ROUND($L$190*$K$190,2)</f>
        <v>0</v>
      </c>
      <c r="O190" s="206"/>
      <c r="P190" s="206"/>
      <c r="Q190" s="206"/>
      <c r="R190" s="22"/>
      <c r="T190" s="127"/>
      <c r="U190" s="28" t="s">
        <v>42</v>
      </c>
      <c r="V190" s="128">
        <v>0.144</v>
      </c>
      <c r="W190" s="128">
        <f>$V$190*$K$190</f>
        <v>1.105632</v>
      </c>
      <c r="X190" s="128">
        <v>6E-05</v>
      </c>
      <c r="Y190" s="128">
        <f>$X$190*$K$190</f>
        <v>0.00046068</v>
      </c>
      <c r="Z190" s="128">
        <v>0</v>
      </c>
      <c r="AA190" s="129">
        <f>$Z$190*$K$190</f>
        <v>0</v>
      </c>
      <c r="AR190" s="6" t="s">
        <v>219</v>
      </c>
      <c r="AT190" s="6" t="s">
        <v>164</v>
      </c>
      <c r="AU190" s="6" t="s">
        <v>141</v>
      </c>
      <c r="AY190" s="6" t="s">
        <v>163</v>
      </c>
      <c r="BE190" s="82">
        <f>IF($U$190="základní",$N$190,0)</f>
        <v>0</v>
      </c>
      <c r="BF190" s="82">
        <f>IF($U$190="snížená",$N$190,0)</f>
        <v>0</v>
      </c>
      <c r="BG190" s="82">
        <f>IF($U$190="zákl. přenesená",$N$190,0)</f>
        <v>0</v>
      </c>
      <c r="BH190" s="82">
        <f>IF($U$190="sníž. přenesená",$N$190,0)</f>
        <v>0</v>
      </c>
      <c r="BI190" s="82">
        <f>IF($U$190="nulová",$N$190,0)</f>
        <v>0</v>
      </c>
      <c r="BJ190" s="6" t="s">
        <v>141</v>
      </c>
      <c r="BK190" s="82">
        <f>ROUND($L$190*$K$190,2)</f>
        <v>0</v>
      </c>
      <c r="BL190" s="6" t="s">
        <v>219</v>
      </c>
    </row>
    <row r="191" spans="2:64" s="6" customFormat="1" ht="15.75" customHeight="1">
      <c r="B191" s="21"/>
      <c r="C191" s="123" t="s">
        <v>298</v>
      </c>
      <c r="D191" s="123" t="s">
        <v>164</v>
      </c>
      <c r="E191" s="124" t="s">
        <v>288</v>
      </c>
      <c r="F191" s="205" t="s">
        <v>289</v>
      </c>
      <c r="G191" s="206"/>
      <c r="H191" s="206"/>
      <c r="I191" s="206"/>
      <c r="J191" s="125" t="s">
        <v>171</v>
      </c>
      <c r="K191" s="126">
        <v>45.805</v>
      </c>
      <c r="L191" s="207">
        <v>0</v>
      </c>
      <c r="M191" s="206"/>
      <c r="N191" s="208">
        <f>ROUND($L$191*$K$191,2)</f>
        <v>0</v>
      </c>
      <c r="O191" s="206"/>
      <c r="P191" s="206"/>
      <c r="Q191" s="206"/>
      <c r="R191" s="22"/>
      <c r="T191" s="127"/>
      <c r="U191" s="28" t="s">
        <v>42</v>
      </c>
      <c r="V191" s="128">
        <v>0.063</v>
      </c>
      <c r="W191" s="128">
        <f>$V$191*$K$191</f>
        <v>2.885715</v>
      </c>
      <c r="X191" s="128">
        <v>5E-05</v>
      </c>
      <c r="Y191" s="128">
        <f>$X$191*$K$191</f>
        <v>0.00229025</v>
      </c>
      <c r="Z191" s="128">
        <v>0</v>
      </c>
      <c r="AA191" s="129">
        <f>$Z$191*$K$191</f>
        <v>0</v>
      </c>
      <c r="AR191" s="6" t="s">
        <v>219</v>
      </c>
      <c r="AT191" s="6" t="s">
        <v>164</v>
      </c>
      <c r="AU191" s="6" t="s">
        <v>141</v>
      </c>
      <c r="AY191" s="6" t="s">
        <v>163</v>
      </c>
      <c r="BE191" s="82">
        <f>IF($U$191="základní",$N$191,0)</f>
        <v>0</v>
      </c>
      <c r="BF191" s="82">
        <f>IF($U$191="snížená",$N$191,0)</f>
        <v>0</v>
      </c>
      <c r="BG191" s="82">
        <f>IF($U$191="zákl. přenesená",$N$191,0)</f>
        <v>0</v>
      </c>
      <c r="BH191" s="82">
        <f>IF($U$191="sníž. přenesená",$N$191,0)</f>
        <v>0</v>
      </c>
      <c r="BI191" s="82">
        <f>IF($U$191="nulová",$N$191,0)</f>
        <v>0</v>
      </c>
      <c r="BJ191" s="6" t="s">
        <v>141</v>
      </c>
      <c r="BK191" s="82">
        <f>ROUND($L$191*$K$191,2)</f>
        <v>0</v>
      </c>
      <c r="BL191" s="6" t="s">
        <v>219</v>
      </c>
    </row>
    <row r="192" spans="2:63" s="113" customFormat="1" ht="30.75" customHeight="1">
      <c r="B192" s="114"/>
      <c r="D192" s="122" t="s">
        <v>136</v>
      </c>
      <c r="N192" s="223">
        <f>$BK$192</f>
        <v>0</v>
      </c>
      <c r="O192" s="222"/>
      <c r="P192" s="222"/>
      <c r="Q192" s="222"/>
      <c r="R192" s="117"/>
      <c r="T192" s="118"/>
      <c r="W192" s="119">
        <f>SUM($W$193:$W$207)</f>
        <v>86.716995</v>
      </c>
      <c r="Y192" s="119">
        <f>SUM($Y$193:$Y$207)</f>
        <v>0.25067432</v>
      </c>
      <c r="AA192" s="120">
        <f>SUM($AA$193:$AA$207)</f>
        <v>0.08607975</v>
      </c>
      <c r="AR192" s="116" t="s">
        <v>141</v>
      </c>
      <c r="AT192" s="116" t="s">
        <v>74</v>
      </c>
      <c r="AU192" s="116" t="s">
        <v>17</v>
      </c>
      <c r="AY192" s="116" t="s">
        <v>163</v>
      </c>
      <c r="BK192" s="121">
        <f>SUM($BK$193:$BK$207)</f>
        <v>0</v>
      </c>
    </row>
    <row r="193" spans="2:64" s="6" customFormat="1" ht="27" customHeight="1">
      <c r="B193" s="21"/>
      <c r="C193" s="123" t="s">
        <v>301</v>
      </c>
      <c r="D193" s="123" t="s">
        <v>164</v>
      </c>
      <c r="E193" s="124" t="s">
        <v>292</v>
      </c>
      <c r="F193" s="205" t="s">
        <v>293</v>
      </c>
      <c r="G193" s="206"/>
      <c r="H193" s="206"/>
      <c r="I193" s="206"/>
      <c r="J193" s="125" t="s">
        <v>171</v>
      </c>
      <c r="K193" s="126">
        <v>573.865</v>
      </c>
      <c r="L193" s="207">
        <v>0</v>
      </c>
      <c r="M193" s="206"/>
      <c r="N193" s="208">
        <f>ROUND($L$193*$K$193,2)</f>
        <v>0</v>
      </c>
      <c r="O193" s="206"/>
      <c r="P193" s="206"/>
      <c r="Q193" s="206"/>
      <c r="R193" s="22"/>
      <c r="T193" s="127"/>
      <c r="U193" s="28" t="s">
        <v>42</v>
      </c>
      <c r="V193" s="128">
        <v>0.035</v>
      </c>
      <c r="W193" s="128">
        <f>$V$193*$K$193</f>
        <v>20.085275000000003</v>
      </c>
      <c r="X193" s="128">
        <v>0</v>
      </c>
      <c r="Y193" s="128">
        <f>$X$193*$K$193</f>
        <v>0</v>
      </c>
      <c r="Z193" s="128">
        <v>0.00015</v>
      </c>
      <c r="AA193" s="129">
        <f>$Z$193*$K$193</f>
        <v>0.08607975</v>
      </c>
      <c r="AR193" s="6" t="s">
        <v>219</v>
      </c>
      <c r="AT193" s="6" t="s">
        <v>164</v>
      </c>
      <c r="AU193" s="6" t="s">
        <v>141</v>
      </c>
      <c r="AY193" s="6" t="s">
        <v>163</v>
      </c>
      <c r="BE193" s="82">
        <f>IF($U$193="základní",$N$193,0)</f>
        <v>0</v>
      </c>
      <c r="BF193" s="82">
        <f>IF($U$193="snížená",$N$193,0)</f>
        <v>0</v>
      </c>
      <c r="BG193" s="82">
        <f>IF($U$193="zákl. přenesená",$N$193,0)</f>
        <v>0</v>
      </c>
      <c r="BH193" s="82">
        <f>IF($U$193="sníž. přenesená",$N$193,0)</f>
        <v>0</v>
      </c>
      <c r="BI193" s="82">
        <f>IF($U$193="nulová",$N$193,0)</f>
        <v>0</v>
      </c>
      <c r="BJ193" s="6" t="s">
        <v>141</v>
      </c>
      <c r="BK193" s="82">
        <f>ROUND($L$193*$K$193,2)</f>
        <v>0</v>
      </c>
      <c r="BL193" s="6" t="s">
        <v>219</v>
      </c>
    </row>
    <row r="194" spans="2:51" s="6" customFormat="1" ht="15.75" customHeight="1">
      <c r="B194" s="130"/>
      <c r="E194" s="131"/>
      <c r="F194" s="209" t="s">
        <v>374</v>
      </c>
      <c r="G194" s="210"/>
      <c r="H194" s="210"/>
      <c r="I194" s="210"/>
      <c r="K194" s="132">
        <v>573.865</v>
      </c>
      <c r="R194" s="133"/>
      <c r="T194" s="134"/>
      <c r="AA194" s="135"/>
      <c r="AT194" s="131" t="s">
        <v>173</v>
      </c>
      <c r="AU194" s="131" t="s">
        <v>141</v>
      </c>
      <c r="AV194" s="131" t="s">
        <v>141</v>
      </c>
      <c r="AW194" s="131" t="s">
        <v>125</v>
      </c>
      <c r="AX194" s="131" t="s">
        <v>17</v>
      </c>
      <c r="AY194" s="131" t="s">
        <v>163</v>
      </c>
    </row>
    <row r="195" spans="2:64" s="6" customFormat="1" ht="27" customHeight="1">
      <c r="B195" s="21"/>
      <c r="C195" s="123" t="s">
        <v>304</v>
      </c>
      <c r="D195" s="123" t="s">
        <v>164</v>
      </c>
      <c r="E195" s="124" t="s">
        <v>299</v>
      </c>
      <c r="F195" s="205" t="s">
        <v>300</v>
      </c>
      <c r="G195" s="206"/>
      <c r="H195" s="206"/>
      <c r="I195" s="206"/>
      <c r="J195" s="125" t="s">
        <v>171</v>
      </c>
      <c r="K195" s="126">
        <v>61.527</v>
      </c>
      <c r="L195" s="207">
        <v>0</v>
      </c>
      <c r="M195" s="206"/>
      <c r="N195" s="208">
        <f>ROUND($L$195*$K$195,2)</f>
        <v>0</v>
      </c>
      <c r="O195" s="206"/>
      <c r="P195" s="206"/>
      <c r="Q195" s="206"/>
      <c r="R195" s="22"/>
      <c r="T195" s="127"/>
      <c r="U195" s="28" t="s">
        <v>42</v>
      </c>
      <c r="V195" s="128">
        <v>0.016</v>
      </c>
      <c r="W195" s="128">
        <f>$V$195*$K$195</f>
        <v>0.9844320000000001</v>
      </c>
      <c r="X195" s="128">
        <v>0</v>
      </c>
      <c r="Y195" s="128">
        <f>$X$195*$K$195</f>
        <v>0</v>
      </c>
      <c r="Z195" s="128">
        <v>0</v>
      </c>
      <c r="AA195" s="129">
        <f>$Z$195*$K$195</f>
        <v>0</v>
      </c>
      <c r="AR195" s="6" t="s">
        <v>219</v>
      </c>
      <c r="AT195" s="6" t="s">
        <v>164</v>
      </c>
      <c r="AU195" s="6" t="s">
        <v>141</v>
      </c>
      <c r="AY195" s="6" t="s">
        <v>163</v>
      </c>
      <c r="BE195" s="82">
        <f>IF($U$195="základní",$N$195,0)</f>
        <v>0</v>
      </c>
      <c r="BF195" s="82">
        <f>IF($U$195="snížená",$N$195,0)</f>
        <v>0</v>
      </c>
      <c r="BG195" s="82">
        <f>IF($U$195="zákl. přenesená",$N$195,0)</f>
        <v>0</v>
      </c>
      <c r="BH195" s="82">
        <f>IF($U$195="sníž. přenesená",$N$195,0)</f>
        <v>0</v>
      </c>
      <c r="BI195" s="82">
        <f>IF($U$195="nulová",$N$195,0)</f>
        <v>0</v>
      </c>
      <c r="BJ195" s="6" t="s">
        <v>141</v>
      </c>
      <c r="BK195" s="82">
        <f>ROUND($L$195*$K$195,2)</f>
        <v>0</v>
      </c>
      <c r="BL195" s="6" t="s">
        <v>219</v>
      </c>
    </row>
    <row r="196" spans="2:51" s="6" customFormat="1" ht="15.75" customHeight="1">
      <c r="B196" s="130"/>
      <c r="E196" s="131"/>
      <c r="F196" s="209" t="s">
        <v>375</v>
      </c>
      <c r="G196" s="210"/>
      <c r="H196" s="210"/>
      <c r="I196" s="210"/>
      <c r="K196" s="132">
        <v>57.327</v>
      </c>
      <c r="R196" s="133"/>
      <c r="T196" s="134"/>
      <c r="AA196" s="135"/>
      <c r="AT196" s="131" t="s">
        <v>173</v>
      </c>
      <c r="AU196" s="131" t="s">
        <v>141</v>
      </c>
      <c r="AV196" s="131" t="s">
        <v>141</v>
      </c>
      <c r="AW196" s="131" t="s">
        <v>125</v>
      </c>
      <c r="AX196" s="131" t="s">
        <v>75</v>
      </c>
      <c r="AY196" s="131" t="s">
        <v>163</v>
      </c>
    </row>
    <row r="197" spans="2:51" s="6" customFormat="1" ht="15.75" customHeight="1">
      <c r="B197" s="130"/>
      <c r="E197" s="131"/>
      <c r="F197" s="209" t="s">
        <v>376</v>
      </c>
      <c r="G197" s="210"/>
      <c r="H197" s="210"/>
      <c r="I197" s="210"/>
      <c r="K197" s="132">
        <v>4.2</v>
      </c>
      <c r="R197" s="133"/>
      <c r="T197" s="134"/>
      <c r="AA197" s="135"/>
      <c r="AT197" s="131" t="s">
        <v>173</v>
      </c>
      <c r="AU197" s="131" t="s">
        <v>141</v>
      </c>
      <c r="AV197" s="131" t="s">
        <v>141</v>
      </c>
      <c r="AW197" s="131" t="s">
        <v>125</v>
      </c>
      <c r="AX197" s="131" t="s">
        <v>75</v>
      </c>
      <c r="AY197" s="131" t="s">
        <v>163</v>
      </c>
    </row>
    <row r="198" spans="2:51" s="6" customFormat="1" ht="15.75" customHeight="1">
      <c r="B198" s="141"/>
      <c r="E198" s="142"/>
      <c r="F198" s="215" t="s">
        <v>286</v>
      </c>
      <c r="G198" s="216"/>
      <c r="H198" s="216"/>
      <c r="I198" s="216"/>
      <c r="K198" s="143">
        <v>61.527</v>
      </c>
      <c r="R198" s="144"/>
      <c r="T198" s="145"/>
      <c r="AA198" s="146"/>
      <c r="AT198" s="142" t="s">
        <v>173</v>
      </c>
      <c r="AU198" s="142" t="s">
        <v>141</v>
      </c>
      <c r="AV198" s="142" t="s">
        <v>168</v>
      </c>
      <c r="AW198" s="142" t="s">
        <v>125</v>
      </c>
      <c r="AX198" s="142" t="s">
        <v>17</v>
      </c>
      <c r="AY198" s="142" t="s">
        <v>163</v>
      </c>
    </row>
    <row r="199" spans="2:64" s="6" customFormat="1" ht="27" customHeight="1">
      <c r="B199" s="21"/>
      <c r="C199" s="136" t="s">
        <v>307</v>
      </c>
      <c r="D199" s="136" t="s">
        <v>190</v>
      </c>
      <c r="E199" s="137" t="s">
        <v>302</v>
      </c>
      <c r="F199" s="211" t="s">
        <v>303</v>
      </c>
      <c r="G199" s="212"/>
      <c r="H199" s="212"/>
      <c r="I199" s="212"/>
      <c r="J199" s="138" t="s">
        <v>171</v>
      </c>
      <c r="K199" s="139">
        <v>64.603</v>
      </c>
      <c r="L199" s="213">
        <v>0</v>
      </c>
      <c r="M199" s="212"/>
      <c r="N199" s="214">
        <f>ROUND($L$199*$K$199,2)</f>
        <v>0</v>
      </c>
      <c r="O199" s="206"/>
      <c r="P199" s="206"/>
      <c r="Q199" s="206"/>
      <c r="R199" s="22"/>
      <c r="T199" s="127"/>
      <c r="U199" s="28" t="s">
        <v>42</v>
      </c>
      <c r="V199" s="128">
        <v>0</v>
      </c>
      <c r="W199" s="128">
        <f>$V$199*$K$199</f>
        <v>0</v>
      </c>
      <c r="X199" s="128">
        <v>0</v>
      </c>
      <c r="Y199" s="128">
        <f>$X$199*$K$199</f>
        <v>0</v>
      </c>
      <c r="Z199" s="128">
        <v>0</v>
      </c>
      <c r="AA199" s="129">
        <f>$Z$199*$K$199</f>
        <v>0</v>
      </c>
      <c r="AR199" s="6" t="s">
        <v>263</v>
      </c>
      <c r="AT199" s="6" t="s">
        <v>190</v>
      </c>
      <c r="AU199" s="6" t="s">
        <v>141</v>
      </c>
      <c r="AY199" s="6" t="s">
        <v>163</v>
      </c>
      <c r="BE199" s="82">
        <f>IF($U$199="základní",$N$199,0)</f>
        <v>0</v>
      </c>
      <c r="BF199" s="82">
        <f>IF($U$199="snížená",$N$199,0)</f>
        <v>0</v>
      </c>
      <c r="BG199" s="82">
        <f>IF($U$199="zákl. přenesená",$N$199,0)</f>
        <v>0</v>
      </c>
      <c r="BH199" s="82">
        <f>IF($U$199="sníž. přenesená",$N$199,0)</f>
        <v>0</v>
      </c>
      <c r="BI199" s="82">
        <f>IF($U$199="nulová",$N$199,0)</f>
        <v>0</v>
      </c>
      <c r="BJ199" s="6" t="s">
        <v>141</v>
      </c>
      <c r="BK199" s="82">
        <f>ROUND($L$199*$K$199,2)</f>
        <v>0</v>
      </c>
      <c r="BL199" s="6" t="s">
        <v>219</v>
      </c>
    </row>
    <row r="200" spans="2:64" s="6" customFormat="1" ht="27" customHeight="1">
      <c r="B200" s="21"/>
      <c r="C200" s="123" t="s">
        <v>310</v>
      </c>
      <c r="D200" s="123" t="s">
        <v>164</v>
      </c>
      <c r="E200" s="124" t="s">
        <v>305</v>
      </c>
      <c r="F200" s="205" t="s">
        <v>306</v>
      </c>
      <c r="G200" s="206"/>
      <c r="H200" s="206"/>
      <c r="I200" s="206"/>
      <c r="J200" s="125" t="s">
        <v>171</v>
      </c>
      <c r="K200" s="126">
        <v>755.568</v>
      </c>
      <c r="L200" s="207">
        <v>0</v>
      </c>
      <c r="M200" s="206"/>
      <c r="N200" s="208">
        <f>ROUND($L$200*$K$200,2)</f>
        <v>0</v>
      </c>
      <c r="O200" s="206"/>
      <c r="P200" s="206"/>
      <c r="Q200" s="206"/>
      <c r="R200" s="22"/>
      <c r="T200" s="127"/>
      <c r="U200" s="28" t="s">
        <v>42</v>
      </c>
      <c r="V200" s="128">
        <v>0.033</v>
      </c>
      <c r="W200" s="128">
        <f>$V$200*$K$200</f>
        <v>24.933744</v>
      </c>
      <c r="X200" s="128">
        <v>0.0002</v>
      </c>
      <c r="Y200" s="128">
        <f>$X$200*$K$200</f>
        <v>0.15111360000000001</v>
      </c>
      <c r="Z200" s="128">
        <v>0</v>
      </c>
      <c r="AA200" s="129">
        <f>$Z$200*$K$200</f>
        <v>0</v>
      </c>
      <c r="AR200" s="6" t="s">
        <v>219</v>
      </c>
      <c r="AT200" s="6" t="s">
        <v>164</v>
      </c>
      <c r="AU200" s="6" t="s">
        <v>141</v>
      </c>
      <c r="AY200" s="6" t="s">
        <v>163</v>
      </c>
      <c r="BE200" s="82">
        <f>IF($U$200="základní",$N$200,0)</f>
        <v>0</v>
      </c>
      <c r="BF200" s="82">
        <f>IF($U$200="snížená",$N$200,0)</f>
        <v>0</v>
      </c>
      <c r="BG200" s="82">
        <f>IF($U$200="zákl. přenesená",$N$200,0)</f>
        <v>0</v>
      </c>
      <c r="BH200" s="82">
        <f>IF($U$200="sníž. přenesená",$N$200,0)</f>
        <v>0</v>
      </c>
      <c r="BI200" s="82">
        <f>IF($U$200="nulová",$N$200,0)</f>
        <v>0</v>
      </c>
      <c r="BJ200" s="6" t="s">
        <v>141</v>
      </c>
      <c r="BK200" s="82">
        <f>ROUND($L$200*$K$200,2)</f>
        <v>0</v>
      </c>
      <c r="BL200" s="6" t="s">
        <v>219</v>
      </c>
    </row>
    <row r="201" spans="2:51" s="6" customFormat="1" ht="27" customHeight="1">
      <c r="B201" s="130"/>
      <c r="E201" s="131"/>
      <c r="F201" s="209" t="s">
        <v>377</v>
      </c>
      <c r="G201" s="210"/>
      <c r="H201" s="210"/>
      <c r="I201" s="210"/>
      <c r="K201" s="132">
        <v>399.28</v>
      </c>
      <c r="R201" s="133"/>
      <c r="T201" s="134"/>
      <c r="AA201" s="135"/>
      <c r="AT201" s="131" t="s">
        <v>173</v>
      </c>
      <c r="AU201" s="131" t="s">
        <v>141</v>
      </c>
      <c r="AV201" s="131" t="s">
        <v>141</v>
      </c>
      <c r="AW201" s="131" t="s">
        <v>125</v>
      </c>
      <c r="AX201" s="131" t="s">
        <v>75</v>
      </c>
      <c r="AY201" s="131" t="s">
        <v>163</v>
      </c>
    </row>
    <row r="202" spans="2:51" s="6" customFormat="1" ht="39" customHeight="1">
      <c r="B202" s="130"/>
      <c r="E202" s="131"/>
      <c r="F202" s="209" t="s">
        <v>378</v>
      </c>
      <c r="G202" s="210"/>
      <c r="H202" s="210"/>
      <c r="I202" s="210"/>
      <c r="K202" s="132">
        <v>222.6</v>
      </c>
      <c r="R202" s="133"/>
      <c r="T202" s="134"/>
      <c r="AA202" s="135"/>
      <c r="AT202" s="131" t="s">
        <v>173</v>
      </c>
      <c r="AU202" s="131" t="s">
        <v>141</v>
      </c>
      <c r="AV202" s="131" t="s">
        <v>141</v>
      </c>
      <c r="AW202" s="131" t="s">
        <v>125</v>
      </c>
      <c r="AX202" s="131" t="s">
        <v>75</v>
      </c>
      <c r="AY202" s="131" t="s">
        <v>163</v>
      </c>
    </row>
    <row r="203" spans="2:51" s="6" customFormat="1" ht="15.75" customHeight="1">
      <c r="B203" s="147"/>
      <c r="E203" s="148"/>
      <c r="F203" s="217" t="s">
        <v>379</v>
      </c>
      <c r="G203" s="218"/>
      <c r="H203" s="218"/>
      <c r="I203" s="218"/>
      <c r="K203" s="149">
        <v>621.88</v>
      </c>
      <c r="R203" s="150"/>
      <c r="T203" s="151"/>
      <c r="AA203" s="152"/>
      <c r="AT203" s="148" t="s">
        <v>173</v>
      </c>
      <c r="AU203" s="148" t="s">
        <v>141</v>
      </c>
      <c r="AV203" s="148" t="s">
        <v>174</v>
      </c>
      <c r="AW203" s="148" t="s">
        <v>125</v>
      </c>
      <c r="AX203" s="148" t="s">
        <v>75</v>
      </c>
      <c r="AY203" s="148" t="s">
        <v>163</v>
      </c>
    </row>
    <row r="204" spans="2:51" s="6" customFormat="1" ht="15.75" customHeight="1">
      <c r="B204" s="130"/>
      <c r="E204" s="131"/>
      <c r="F204" s="209" t="s">
        <v>380</v>
      </c>
      <c r="G204" s="210"/>
      <c r="H204" s="210"/>
      <c r="I204" s="210"/>
      <c r="K204" s="132">
        <v>133.688</v>
      </c>
      <c r="R204" s="133"/>
      <c r="T204" s="134"/>
      <c r="AA204" s="135"/>
      <c r="AT204" s="131" t="s">
        <v>173</v>
      </c>
      <c r="AU204" s="131" t="s">
        <v>141</v>
      </c>
      <c r="AV204" s="131" t="s">
        <v>141</v>
      </c>
      <c r="AW204" s="131" t="s">
        <v>125</v>
      </c>
      <c r="AX204" s="131" t="s">
        <v>75</v>
      </c>
      <c r="AY204" s="131" t="s">
        <v>163</v>
      </c>
    </row>
    <row r="205" spans="2:51" s="6" customFormat="1" ht="15.75" customHeight="1">
      <c r="B205" s="141"/>
      <c r="E205" s="142"/>
      <c r="F205" s="215" t="s">
        <v>286</v>
      </c>
      <c r="G205" s="216"/>
      <c r="H205" s="216"/>
      <c r="I205" s="216"/>
      <c r="K205" s="143">
        <v>755.568</v>
      </c>
      <c r="R205" s="144"/>
      <c r="T205" s="145"/>
      <c r="AA205" s="146"/>
      <c r="AT205" s="142" t="s">
        <v>173</v>
      </c>
      <c r="AU205" s="142" t="s">
        <v>141</v>
      </c>
      <c r="AV205" s="142" t="s">
        <v>168</v>
      </c>
      <c r="AW205" s="142" t="s">
        <v>125</v>
      </c>
      <c r="AX205" s="142" t="s">
        <v>17</v>
      </c>
      <c r="AY205" s="142" t="s">
        <v>163</v>
      </c>
    </row>
    <row r="206" spans="2:64" s="6" customFormat="1" ht="27" customHeight="1">
      <c r="B206" s="21"/>
      <c r="C206" s="123" t="s">
        <v>381</v>
      </c>
      <c r="D206" s="123" t="s">
        <v>164</v>
      </c>
      <c r="E206" s="124" t="s">
        <v>308</v>
      </c>
      <c r="F206" s="205" t="s">
        <v>309</v>
      </c>
      <c r="G206" s="206"/>
      <c r="H206" s="206"/>
      <c r="I206" s="206"/>
      <c r="J206" s="125" t="s">
        <v>171</v>
      </c>
      <c r="K206" s="126">
        <v>133.688</v>
      </c>
      <c r="L206" s="207">
        <v>0</v>
      </c>
      <c r="M206" s="206"/>
      <c r="N206" s="208">
        <f>ROUND($L$206*$K$206,2)</f>
        <v>0</v>
      </c>
      <c r="O206" s="206"/>
      <c r="P206" s="206"/>
      <c r="Q206" s="206"/>
      <c r="R206" s="22"/>
      <c r="T206" s="127"/>
      <c r="U206" s="28" t="s">
        <v>42</v>
      </c>
      <c r="V206" s="128">
        <v>0.005</v>
      </c>
      <c r="W206" s="128">
        <f>$V$206*$K$206</f>
        <v>0.6684399999999999</v>
      </c>
      <c r="X206" s="128">
        <v>1E-05</v>
      </c>
      <c r="Y206" s="128">
        <f>$X$206*$K$206</f>
        <v>0.00133688</v>
      </c>
      <c r="Z206" s="128">
        <v>0</v>
      </c>
      <c r="AA206" s="129">
        <f>$Z$206*$K$206</f>
        <v>0</v>
      </c>
      <c r="AR206" s="6" t="s">
        <v>219</v>
      </c>
      <c r="AT206" s="6" t="s">
        <v>164</v>
      </c>
      <c r="AU206" s="6" t="s">
        <v>141</v>
      </c>
      <c r="AY206" s="6" t="s">
        <v>163</v>
      </c>
      <c r="BE206" s="82">
        <f>IF($U$206="základní",$N$206,0)</f>
        <v>0</v>
      </c>
      <c r="BF206" s="82">
        <f>IF($U$206="snížená",$N$206,0)</f>
        <v>0</v>
      </c>
      <c r="BG206" s="82">
        <f>IF($U$206="zákl. přenesená",$N$206,0)</f>
        <v>0</v>
      </c>
      <c r="BH206" s="82">
        <f>IF($U$206="sníž. přenesená",$N$206,0)</f>
        <v>0</v>
      </c>
      <c r="BI206" s="82">
        <f>IF($U$206="nulová",$N$206,0)</f>
        <v>0</v>
      </c>
      <c r="BJ206" s="6" t="s">
        <v>141</v>
      </c>
      <c r="BK206" s="82">
        <f>ROUND($L$206*$K$206,2)</f>
        <v>0</v>
      </c>
      <c r="BL206" s="6" t="s">
        <v>219</v>
      </c>
    </row>
    <row r="207" spans="2:64" s="6" customFormat="1" ht="39" customHeight="1">
      <c r="B207" s="21"/>
      <c r="C207" s="123" t="s">
        <v>382</v>
      </c>
      <c r="D207" s="123" t="s">
        <v>164</v>
      </c>
      <c r="E207" s="124" t="s">
        <v>311</v>
      </c>
      <c r="F207" s="205" t="s">
        <v>312</v>
      </c>
      <c r="G207" s="206"/>
      <c r="H207" s="206"/>
      <c r="I207" s="206"/>
      <c r="J207" s="125" t="s">
        <v>171</v>
      </c>
      <c r="K207" s="126">
        <v>755.568</v>
      </c>
      <c r="L207" s="207">
        <v>0</v>
      </c>
      <c r="M207" s="206"/>
      <c r="N207" s="208">
        <f>ROUND($L$207*$K$207,2)</f>
        <v>0</v>
      </c>
      <c r="O207" s="206"/>
      <c r="P207" s="206"/>
      <c r="Q207" s="206"/>
      <c r="R207" s="22"/>
      <c r="T207" s="127"/>
      <c r="U207" s="28" t="s">
        <v>42</v>
      </c>
      <c r="V207" s="128">
        <v>0.053</v>
      </c>
      <c r="W207" s="128">
        <f>$V$207*$K$207</f>
        <v>40.045103999999995</v>
      </c>
      <c r="X207" s="128">
        <v>0.00013</v>
      </c>
      <c r="Y207" s="128">
        <f>$X$207*$K$207</f>
        <v>0.09822383999999999</v>
      </c>
      <c r="Z207" s="128">
        <v>0</v>
      </c>
      <c r="AA207" s="129">
        <f>$Z$207*$K$207</f>
        <v>0</v>
      </c>
      <c r="AR207" s="6" t="s">
        <v>219</v>
      </c>
      <c r="AT207" s="6" t="s">
        <v>164</v>
      </c>
      <c r="AU207" s="6" t="s">
        <v>141</v>
      </c>
      <c r="AY207" s="6" t="s">
        <v>163</v>
      </c>
      <c r="BE207" s="82">
        <f>IF($U$207="základní",$N$207,0)</f>
        <v>0</v>
      </c>
      <c r="BF207" s="82">
        <f>IF($U$207="snížená",$N$207,0)</f>
        <v>0</v>
      </c>
      <c r="BG207" s="82">
        <f>IF($U$207="zákl. přenesená",$N$207,0)</f>
        <v>0</v>
      </c>
      <c r="BH207" s="82">
        <f>IF($U$207="sníž. přenesená",$N$207,0)</f>
        <v>0</v>
      </c>
      <c r="BI207" s="82">
        <f>IF($U$207="nulová",$N$207,0)</f>
        <v>0</v>
      </c>
      <c r="BJ207" s="6" t="s">
        <v>141</v>
      </c>
      <c r="BK207" s="82">
        <f>ROUND($L$207*$K$207,2)</f>
        <v>0</v>
      </c>
      <c r="BL207" s="6" t="s">
        <v>219</v>
      </c>
    </row>
    <row r="208" spans="2:63" s="6" customFormat="1" ht="51" customHeight="1">
      <c r="B208" s="21"/>
      <c r="D208" s="115" t="s">
        <v>313</v>
      </c>
      <c r="N208" s="201">
        <f>$BK$208</f>
        <v>0</v>
      </c>
      <c r="O208" s="161"/>
      <c r="P208" s="161"/>
      <c r="Q208" s="161"/>
      <c r="R208" s="22"/>
      <c r="T208" s="53"/>
      <c r="AA208" s="54"/>
      <c r="AT208" s="6" t="s">
        <v>74</v>
      </c>
      <c r="AU208" s="6" t="s">
        <v>75</v>
      </c>
      <c r="AY208" s="6" t="s">
        <v>314</v>
      </c>
      <c r="BK208" s="82">
        <f>SUM($BK$209:$BK$213)</f>
        <v>0</v>
      </c>
    </row>
    <row r="209" spans="2:63" s="6" customFormat="1" ht="23.25" customHeight="1">
      <c r="B209" s="21"/>
      <c r="C209" s="153"/>
      <c r="D209" s="153" t="s">
        <v>164</v>
      </c>
      <c r="E209" s="154"/>
      <c r="F209" s="219"/>
      <c r="G209" s="220"/>
      <c r="H209" s="220"/>
      <c r="I209" s="220"/>
      <c r="J209" s="155"/>
      <c r="K209" s="140"/>
      <c r="L209" s="207"/>
      <c r="M209" s="206"/>
      <c r="N209" s="208">
        <f>$BK$209</f>
        <v>0</v>
      </c>
      <c r="O209" s="206"/>
      <c r="P209" s="206"/>
      <c r="Q209" s="206"/>
      <c r="R209" s="22"/>
      <c r="T209" s="127"/>
      <c r="U209" s="156" t="s">
        <v>42</v>
      </c>
      <c r="AA209" s="54"/>
      <c r="AT209" s="6" t="s">
        <v>314</v>
      </c>
      <c r="AU209" s="6" t="s">
        <v>17</v>
      </c>
      <c r="AY209" s="6" t="s">
        <v>314</v>
      </c>
      <c r="BE209" s="82">
        <f>IF($U$209="základní",$N$209,0)</f>
        <v>0</v>
      </c>
      <c r="BF209" s="82">
        <f>IF($U$209="snížená",$N$209,0)</f>
        <v>0</v>
      </c>
      <c r="BG209" s="82">
        <f>IF($U$209="zákl. přenesená",$N$209,0)</f>
        <v>0</v>
      </c>
      <c r="BH209" s="82">
        <f>IF($U$209="sníž. přenesená",$N$209,0)</f>
        <v>0</v>
      </c>
      <c r="BI209" s="82">
        <f>IF($U$209="nulová",$N$209,0)</f>
        <v>0</v>
      </c>
      <c r="BJ209" s="6" t="s">
        <v>141</v>
      </c>
      <c r="BK209" s="82">
        <f>$L$209*$K$209</f>
        <v>0</v>
      </c>
    </row>
    <row r="210" spans="2:63" s="6" customFormat="1" ht="23.25" customHeight="1">
      <c r="B210" s="21"/>
      <c r="C210" s="153"/>
      <c r="D210" s="153" t="s">
        <v>164</v>
      </c>
      <c r="E210" s="154"/>
      <c r="F210" s="219"/>
      <c r="G210" s="220"/>
      <c r="H210" s="220"/>
      <c r="I210" s="220"/>
      <c r="J210" s="155"/>
      <c r="K210" s="140"/>
      <c r="L210" s="207"/>
      <c r="M210" s="206"/>
      <c r="N210" s="208">
        <f>$BK$210</f>
        <v>0</v>
      </c>
      <c r="O210" s="206"/>
      <c r="P210" s="206"/>
      <c r="Q210" s="206"/>
      <c r="R210" s="22"/>
      <c r="T210" s="127"/>
      <c r="U210" s="156" t="s">
        <v>42</v>
      </c>
      <c r="AA210" s="54"/>
      <c r="AT210" s="6" t="s">
        <v>314</v>
      </c>
      <c r="AU210" s="6" t="s">
        <v>17</v>
      </c>
      <c r="AY210" s="6" t="s">
        <v>314</v>
      </c>
      <c r="BE210" s="82">
        <f>IF($U$210="základní",$N$210,0)</f>
        <v>0</v>
      </c>
      <c r="BF210" s="82">
        <f>IF($U$210="snížená",$N$210,0)</f>
        <v>0</v>
      </c>
      <c r="BG210" s="82">
        <f>IF($U$210="zákl. přenesená",$N$210,0)</f>
        <v>0</v>
      </c>
      <c r="BH210" s="82">
        <f>IF($U$210="sníž. přenesená",$N$210,0)</f>
        <v>0</v>
      </c>
      <c r="BI210" s="82">
        <f>IF($U$210="nulová",$N$210,0)</f>
        <v>0</v>
      </c>
      <c r="BJ210" s="6" t="s">
        <v>141</v>
      </c>
      <c r="BK210" s="82">
        <f>$L$210*$K$210</f>
        <v>0</v>
      </c>
    </row>
    <row r="211" spans="2:63" s="6" customFormat="1" ht="23.25" customHeight="1">
      <c r="B211" s="21"/>
      <c r="C211" s="153"/>
      <c r="D211" s="153" t="s">
        <v>164</v>
      </c>
      <c r="E211" s="154"/>
      <c r="F211" s="219"/>
      <c r="G211" s="220"/>
      <c r="H211" s="220"/>
      <c r="I211" s="220"/>
      <c r="J211" s="155"/>
      <c r="K211" s="140"/>
      <c r="L211" s="207"/>
      <c r="M211" s="206"/>
      <c r="N211" s="208">
        <f>$BK$211</f>
        <v>0</v>
      </c>
      <c r="O211" s="206"/>
      <c r="P211" s="206"/>
      <c r="Q211" s="206"/>
      <c r="R211" s="22"/>
      <c r="T211" s="127"/>
      <c r="U211" s="156" t="s">
        <v>42</v>
      </c>
      <c r="AA211" s="54"/>
      <c r="AT211" s="6" t="s">
        <v>314</v>
      </c>
      <c r="AU211" s="6" t="s">
        <v>17</v>
      </c>
      <c r="AY211" s="6" t="s">
        <v>314</v>
      </c>
      <c r="BE211" s="82">
        <f>IF($U$211="základní",$N$211,0)</f>
        <v>0</v>
      </c>
      <c r="BF211" s="82">
        <f>IF($U$211="snížená",$N$211,0)</f>
        <v>0</v>
      </c>
      <c r="BG211" s="82">
        <f>IF($U$211="zákl. přenesená",$N$211,0)</f>
        <v>0</v>
      </c>
      <c r="BH211" s="82">
        <f>IF($U$211="sníž. přenesená",$N$211,0)</f>
        <v>0</v>
      </c>
      <c r="BI211" s="82">
        <f>IF($U$211="nulová",$N$211,0)</f>
        <v>0</v>
      </c>
      <c r="BJ211" s="6" t="s">
        <v>141</v>
      </c>
      <c r="BK211" s="82">
        <f>$L$211*$K$211</f>
        <v>0</v>
      </c>
    </row>
    <row r="212" spans="2:63" s="6" customFormat="1" ht="23.25" customHeight="1">
      <c r="B212" s="21"/>
      <c r="C212" s="153"/>
      <c r="D212" s="153" t="s">
        <v>164</v>
      </c>
      <c r="E212" s="154"/>
      <c r="F212" s="219"/>
      <c r="G212" s="220"/>
      <c r="H212" s="220"/>
      <c r="I212" s="220"/>
      <c r="J212" s="155"/>
      <c r="K212" s="140"/>
      <c r="L212" s="207"/>
      <c r="M212" s="206"/>
      <c r="N212" s="208">
        <f>$BK$212</f>
        <v>0</v>
      </c>
      <c r="O212" s="206"/>
      <c r="P212" s="206"/>
      <c r="Q212" s="206"/>
      <c r="R212" s="22"/>
      <c r="T212" s="127"/>
      <c r="U212" s="156" t="s">
        <v>42</v>
      </c>
      <c r="AA212" s="54"/>
      <c r="AT212" s="6" t="s">
        <v>314</v>
      </c>
      <c r="AU212" s="6" t="s">
        <v>17</v>
      </c>
      <c r="AY212" s="6" t="s">
        <v>314</v>
      </c>
      <c r="BE212" s="82">
        <f>IF($U$212="základní",$N$212,0)</f>
        <v>0</v>
      </c>
      <c r="BF212" s="82">
        <f>IF($U$212="snížená",$N$212,0)</f>
        <v>0</v>
      </c>
      <c r="BG212" s="82">
        <f>IF($U$212="zákl. přenesená",$N$212,0)</f>
        <v>0</v>
      </c>
      <c r="BH212" s="82">
        <f>IF($U$212="sníž. přenesená",$N$212,0)</f>
        <v>0</v>
      </c>
      <c r="BI212" s="82">
        <f>IF($U$212="nulová",$N$212,0)</f>
        <v>0</v>
      </c>
      <c r="BJ212" s="6" t="s">
        <v>141</v>
      </c>
      <c r="BK212" s="82">
        <f>$L$212*$K$212</f>
        <v>0</v>
      </c>
    </row>
    <row r="213" spans="2:63" s="6" customFormat="1" ht="23.25" customHeight="1">
      <c r="B213" s="21"/>
      <c r="C213" s="153"/>
      <c r="D213" s="153" t="s">
        <v>164</v>
      </c>
      <c r="E213" s="154"/>
      <c r="F213" s="219"/>
      <c r="G213" s="220"/>
      <c r="H213" s="220"/>
      <c r="I213" s="220"/>
      <c r="J213" s="155"/>
      <c r="K213" s="140"/>
      <c r="L213" s="207"/>
      <c r="M213" s="206"/>
      <c r="N213" s="208">
        <f>$BK$213</f>
        <v>0</v>
      </c>
      <c r="O213" s="206"/>
      <c r="P213" s="206"/>
      <c r="Q213" s="206"/>
      <c r="R213" s="22"/>
      <c r="T213" s="127"/>
      <c r="U213" s="156" t="s">
        <v>42</v>
      </c>
      <c r="V213" s="40"/>
      <c r="W213" s="40"/>
      <c r="X213" s="40"/>
      <c r="Y213" s="40"/>
      <c r="Z213" s="40"/>
      <c r="AA213" s="42"/>
      <c r="AT213" s="6" t="s">
        <v>314</v>
      </c>
      <c r="AU213" s="6" t="s">
        <v>17</v>
      </c>
      <c r="AY213" s="6" t="s">
        <v>314</v>
      </c>
      <c r="BE213" s="82">
        <f>IF($U$213="základní",$N$213,0)</f>
        <v>0</v>
      </c>
      <c r="BF213" s="82">
        <f>IF($U$213="snížená",$N$213,0)</f>
        <v>0</v>
      </c>
      <c r="BG213" s="82">
        <f>IF($U$213="zákl. přenesená",$N$213,0)</f>
        <v>0</v>
      </c>
      <c r="BH213" s="82">
        <f>IF($U$213="sníž. přenesená",$N$213,0)</f>
        <v>0</v>
      </c>
      <c r="BI213" s="82">
        <f>IF($U$213="nulová",$N$213,0)</f>
        <v>0</v>
      </c>
      <c r="BJ213" s="6" t="s">
        <v>141</v>
      </c>
      <c r="BK213" s="82">
        <f>$L$213*$K$213</f>
        <v>0</v>
      </c>
    </row>
    <row r="214" spans="2:18" s="6" customFormat="1" ht="7.5" customHeight="1">
      <c r="B214" s="43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5"/>
    </row>
    <row r="215" s="2" customFormat="1" ht="14.25" customHeight="1"/>
  </sheetData>
  <sheetProtection/>
  <mergeCells count="260">
    <mergeCell ref="H1:K1"/>
    <mergeCell ref="S2:AC2"/>
    <mergeCell ref="N166:Q166"/>
    <mergeCell ref="N169:Q169"/>
    <mergeCell ref="N178:Q178"/>
    <mergeCell ref="N185:Q185"/>
    <mergeCell ref="N192:Q192"/>
    <mergeCell ref="N208:Q208"/>
    <mergeCell ref="F213:I213"/>
    <mergeCell ref="L213:M213"/>
    <mergeCell ref="N213:Q213"/>
    <mergeCell ref="N127:Q127"/>
    <mergeCell ref="N128:Q128"/>
    <mergeCell ref="N129:Q129"/>
    <mergeCell ref="N135:Q135"/>
    <mergeCell ref="N143:Q143"/>
    <mergeCell ref="N158:Q158"/>
    <mergeCell ref="N165:Q165"/>
    <mergeCell ref="F211:I211"/>
    <mergeCell ref="L211:M211"/>
    <mergeCell ref="N211:Q211"/>
    <mergeCell ref="F212:I212"/>
    <mergeCell ref="L212:M212"/>
    <mergeCell ref="N212:Q212"/>
    <mergeCell ref="F209:I209"/>
    <mergeCell ref="L209:M209"/>
    <mergeCell ref="N209:Q209"/>
    <mergeCell ref="F210:I210"/>
    <mergeCell ref="L210:M210"/>
    <mergeCell ref="N210:Q210"/>
    <mergeCell ref="F204:I204"/>
    <mergeCell ref="F205:I205"/>
    <mergeCell ref="F206:I206"/>
    <mergeCell ref="L206:M206"/>
    <mergeCell ref="N206:Q206"/>
    <mergeCell ref="F207:I207"/>
    <mergeCell ref="L207:M207"/>
    <mergeCell ref="N207:Q207"/>
    <mergeCell ref="F200:I200"/>
    <mergeCell ref="L200:M200"/>
    <mergeCell ref="N200:Q200"/>
    <mergeCell ref="F201:I201"/>
    <mergeCell ref="F202:I202"/>
    <mergeCell ref="F203:I203"/>
    <mergeCell ref="F196:I196"/>
    <mergeCell ref="F197:I197"/>
    <mergeCell ref="F198:I198"/>
    <mergeCell ref="F199:I199"/>
    <mergeCell ref="L199:M199"/>
    <mergeCell ref="N199:Q199"/>
    <mergeCell ref="F193:I193"/>
    <mergeCell ref="L193:M193"/>
    <mergeCell ref="N193:Q193"/>
    <mergeCell ref="F194:I194"/>
    <mergeCell ref="F195:I195"/>
    <mergeCell ref="L195:M195"/>
    <mergeCell ref="N195:Q195"/>
    <mergeCell ref="F189:I189"/>
    <mergeCell ref="F190:I190"/>
    <mergeCell ref="L190:M190"/>
    <mergeCell ref="N190:Q190"/>
    <mergeCell ref="F191:I191"/>
    <mergeCell ref="L191:M191"/>
    <mergeCell ref="N191:Q191"/>
    <mergeCell ref="F186:I186"/>
    <mergeCell ref="L186:M186"/>
    <mergeCell ref="N186:Q186"/>
    <mergeCell ref="F187:I187"/>
    <mergeCell ref="F188:I188"/>
    <mergeCell ref="L188:M188"/>
    <mergeCell ref="N188:Q188"/>
    <mergeCell ref="F183:I183"/>
    <mergeCell ref="L183:M183"/>
    <mergeCell ref="N183:Q183"/>
    <mergeCell ref="F184:I184"/>
    <mergeCell ref="L184:M184"/>
    <mergeCell ref="N184:Q184"/>
    <mergeCell ref="F181:I181"/>
    <mergeCell ref="L181:M181"/>
    <mergeCell ref="N181:Q181"/>
    <mergeCell ref="F182:I182"/>
    <mergeCell ref="L182:M182"/>
    <mergeCell ref="N182:Q182"/>
    <mergeCell ref="F179:I179"/>
    <mergeCell ref="L179:M179"/>
    <mergeCell ref="N179:Q179"/>
    <mergeCell ref="F180:I180"/>
    <mergeCell ref="L180:M180"/>
    <mergeCell ref="N180:Q180"/>
    <mergeCell ref="F176:I176"/>
    <mergeCell ref="L176:M176"/>
    <mergeCell ref="N176:Q176"/>
    <mergeCell ref="F177:I177"/>
    <mergeCell ref="L177:M177"/>
    <mergeCell ref="N177:Q177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67:I167"/>
    <mergeCell ref="L167:M167"/>
    <mergeCell ref="N167:Q167"/>
    <mergeCell ref="F168:I168"/>
    <mergeCell ref="L168:M168"/>
    <mergeCell ref="N168:Q168"/>
    <mergeCell ref="F162:I162"/>
    <mergeCell ref="F163:I163"/>
    <mergeCell ref="L163:M163"/>
    <mergeCell ref="N163:Q163"/>
    <mergeCell ref="F164:I164"/>
    <mergeCell ref="L164:M164"/>
    <mergeCell ref="N164:Q164"/>
    <mergeCell ref="F160:I160"/>
    <mergeCell ref="L160:M160"/>
    <mergeCell ref="N160:Q160"/>
    <mergeCell ref="F161:I161"/>
    <mergeCell ref="L161:M161"/>
    <mergeCell ref="N161:Q161"/>
    <mergeCell ref="F155:I155"/>
    <mergeCell ref="F156:I156"/>
    <mergeCell ref="L156:M156"/>
    <mergeCell ref="N156:Q156"/>
    <mergeCell ref="F157:I157"/>
    <mergeCell ref="F159:I159"/>
    <mergeCell ref="L159:M159"/>
    <mergeCell ref="N159:Q159"/>
    <mergeCell ref="F152:I152"/>
    <mergeCell ref="L152:M152"/>
    <mergeCell ref="N152:Q152"/>
    <mergeCell ref="F153:I153"/>
    <mergeCell ref="F154:I154"/>
    <mergeCell ref="L154:M154"/>
    <mergeCell ref="N154:Q154"/>
    <mergeCell ref="F148:I148"/>
    <mergeCell ref="F149:I149"/>
    <mergeCell ref="F150:I150"/>
    <mergeCell ref="L150:M150"/>
    <mergeCell ref="N150:Q150"/>
    <mergeCell ref="F151:I151"/>
    <mergeCell ref="F144:I144"/>
    <mergeCell ref="L144:M144"/>
    <mergeCell ref="N144:Q144"/>
    <mergeCell ref="F145:I145"/>
    <mergeCell ref="F146:I146"/>
    <mergeCell ref="F147:I147"/>
    <mergeCell ref="F141:I141"/>
    <mergeCell ref="L141:M141"/>
    <mergeCell ref="N141:Q141"/>
    <mergeCell ref="F142:I142"/>
    <mergeCell ref="L142:M142"/>
    <mergeCell ref="N142:Q142"/>
    <mergeCell ref="F138:I138"/>
    <mergeCell ref="F139:I139"/>
    <mergeCell ref="L139:M139"/>
    <mergeCell ref="N139:Q139"/>
    <mergeCell ref="F140:I140"/>
    <mergeCell ref="L140:M140"/>
    <mergeCell ref="N140:Q140"/>
    <mergeCell ref="F134:I134"/>
    <mergeCell ref="F136:I136"/>
    <mergeCell ref="L136:M136"/>
    <mergeCell ref="N136:Q136"/>
    <mergeCell ref="F137:I137"/>
    <mergeCell ref="L137:M137"/>
    <mergeCell ref="N137:Q137"/>
    <mergeCell ref="F131:I131"/>
    <mergeCell ref="L131:M131"/>
    <mergeCell ref="N131:Q131"/>
    <mergeCell ref="F132:I132"/>
    <mergeCell ref="F133:I133"/>
    <mergeCell ref="L133:M133"/>
    <mergeCell ref="N133:Q133"/>
    <mergeCell ref="F126:I126"/>
    <mergeCell ref="L126:M126"/>
    <mergeCell ref="N126:Q126"/>
    <mergeCell ref="F130:I130"/>
    <mergeCell ref="L130:M130"/>
    <mergeCell ref="N130:Q130"/>
    <mergeCell ref="C116:Q116"/>
    <mergeCell ref="F118:P118"/>
    <mergeCell ref="F119:P119"/>
    <mergeCell ref="M121:P121"/>
    <mergeCell ref="M123:Q123"/>
    <mergeCell ref="M124:Q124"/>
    <mergeCell ref="D106:H106"/>
    <mergeCell ref="N106:Q106"/>
    <mergeCell ref="D107:H107"/>
    <mergeCell ref="N107:Q107"/>
    <mergeCell ref="N108:Q108"/>
    <mergeCell ref="L110:Q110"/>
    <mergeCell ref="N102:Q102"/>
    <mergeCell ref="D103:H103"/>
    <mergeCell ref="N103:Q103"/>
    <mergeCell ref="D104:H104"/>
    <mergeCell ref="N104:Q104"/>
    <mergeCell ref="D105:H105"/>
    <mergeCell ref="N105:Q105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209:D214">
      <formula1>"K,M"</formula1>
    </dataValidation>
    <dataValidation type="list" allowBlank="1" showInputMessage="1" showErrorMessage="1" error="Povoleny jsou hodnoty základní, snížená, zákl. přenesená, sníž. přenesená, nulová." sqref="U209:U214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6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29"/>
      <c r="B1" s="226"/>
      <c r="C1" s="226"/>
      <c r="D1" s="227" t="s">
        <v>1</v>
      </c>
      <c r="E1" s="226"/>
      <c r="F1" s="228" t="s">
        <v>431</v>
      </c>
      <c r="G1" s="228"/>
      <c r="H1" s="230" t="s">
        <v>432</v>
      </c>
      <c r="I1" s="230"/>
      <c r="J1" s="230"/>
      <c r="K1" s="230"/>
      <c r="L1" s="228" t="s">
        <v>433</v>
      </c>
      <c r="M1" s="226"/>
      <c r="N1" s="226"/>
      <c r="O1" s="227" t="s">
        <v>116</v>
      </c>
      <c r="P1" s="226"/>
      <c r="Q1" s="226"/>
      <c r="R1" s="226"/>
      <c r="S1" s="228" t="s">
        <v>434</v>
      </c>
      <c r="T1" s="228"/>
      <c r="U1" s="229"/>
      <c r="V1" s="22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7" t="s">
        <v>4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91" t="s">
        <v>5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2" t="s">
        <v>91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17</v>
      </c>
    </row>
    <row r="4" spans="2:46" s="2" customFormat="1" ht="37.5" customHeight="1">
      <c r="B4" s="10"/>
      <c r="C4" s="159" t="s">
        <v>117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14</v>
      </c>
      <c r="F6" s="192" t="str">
        <f>'Rekapitulace stavby'!$K$6</f>
        <v>1327 - Stavební úpravy stávajícího objektu - rozdělení sklepních kójí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R6" s="11"/>
    </row>
    <row r="7" spans="2:18" s="6" customFormat="1" ht="18.75" customHeight="1">
      <c r="B7" s="21"/>
      <c r="D7" s="14" t="s">
        <v>118</v>
      </c>
      <c r="F7" s="163" t="s">
        <v>383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  <c r="R7" s="22"/>
    </row>
    <row r="8" spans="2:18" s="6" customFormat="1" ht="7.5" customHeight="1">
      <c r="B8" s="21"/>
      <c r="R8" s="22"/>
    </row>
    <row r="9" spans="2:18" s="6" customFormat="1" ht="15" customHeight="1">
      <c r="B9" s="21"/>
      <c r="D9" s="15" t="s">
        <v>18</v>
      </c>
      <c r="F9" s="16" t="s">
        <v>19</v>
      </c>
      <c r="M9" s="15" t="s">
        <v>20</v>
      </c>
      <c r="O9" s="193" t="str">
        <f>'Rekapitulace stavby'!$AN$8</f>
        <v>08.07.2013</v>
      </c>
      <c r="P9" s="161"/>
      <c r="R9" s="22"/>
    </row>
    <row r="10" spans="2:18" s="6" customFormat="1" ht="7.5" customHeight="1">
      <c r="B10" s="21"/>
      <c r="R10" s="22"/>
    </row>
    <row r="11" spans="2:18" s="6" customFormat="1" ht="15" customHeight="1">
      <c r="B11" s="21"/>
      <c r="D11" s="15" t="s">
        <v>24</v>
      </c>
      <c r="M11" s="15" t="s">
        <v>25</v>
      </c>
      <c r="O11" s="174"/>
      <c r="P11" s="161"/>
      <c r="R11" s="22"/>
    </row>
    <row r="12" spans="2:18" s="6" customFormat="1" ht="18.75" customHeight="1">
      <c r="B12" s="21"/>
      <c r="E12" s="16" t="s">
        <v>26</v>
      </c>
      <c r="M12" s="15" t="s">
        <v>27</v>
      </c>
      <c r="O12" s="174"/>
      <c r="P12" s="161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5" t="s">
        <v>28</v>
      </c>
      <c r="M14" s="15" t="s">
        <v>25</v>
      </c>
      <c r="O14" s="194" t="str">
        <f>IF('Rekapitulace stavby'!$AN$13="","",'Rekapitulace stavby'!$AN$13)</f>
        <v>Vyplň údaj</v>
      </c>
      <c r="P14" s="161"/>
      <c r="R14" s="22"/>
    </row>
    <row r="15" spans="2:18" s="6" customFormat="1" ht="18.75" customHeight="1">
      <c r="B15" s="21"/>
      <c r="E15" s="194" t="str">
        <f>IF('Rekapitulace stavby'!$E$14="","",'Rekapitulace stavby'!$E$14)</f>
        <v>Vyplň údaj</v>
      </c>
      <c r="F15" s="161"/>
      <c r="G15" s="161"/>
      <c r="H15" s="161"/>
      <c r="I15" s="161"/>
      <c r="J15" s="161"/>
      <c r="K15" s="161"/>
      <c r="L15" s="161"/>
      <c r="M15" s="15" t="s">
        <v>27</v>
      </c>
      <c r="O15" s="194" t="str">
        <f>IF('Rekapitulace stavby'!$AN$14="","",'Rekapitulace stavby'!$AN$14)</f>
        <v>Vyplň údaj</v>
      </c>
      <c r="P15" s="161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5" t="s">
        <v>30</v>
      </c>
      <c r="M17" s="15" t="s">
        <v>25</v>
      </c>
      <c r="O17" s="174"/>
      <c r="P17" s="161"/>
      <c r="R17" s="22"/>
    </row>
    <row r="18" spans="2:18" s="6" customFormat="1" ht="18.75" customHeight="1">
      <c r="B18" s="21"/>
      <c r="E18" s="16" t="s">
        <v>31</v>
      </c>
      <c r="M18" s="15" t="s">
        <v>27</v>
      </c>
      <c r="O18" s="174"/>
      <c r="P18" s="161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5" t="s">
        <v>33</v>
      </c>
      <c r="M20" s="15" t="s">
        <v>25</v>
      </c>
      <c r="O20" s="174" t="s">
        <v>34</v>
      </c>
      <c r="P20" s="161"/>
      <c r="R20" s="22"/>
    </row>
    <row r="21" spans="2:18" s="6" customFormat="1" ht="18.75" customHeight="1">
      <c r="B21" s="21"/>
      <c r="E21" s="16" t="s">
        <v>31</v>
      </c>
      <c r="M21" s="15" t="s">
        <v>27</v>
      </c>
      <c r="O21" s="174" t="s">
        <v>35</v>
      </c>
      <c r="P21" s="161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R23" s="22"/>
    </row>
    <row r="24" spans="2:18" s="6" customFormat="1" ht="15" customHeight="1">
      <c r="B24" s="21"/>
      <c r="D24" s="90" t="s">
        <v>120</v>
      </c>
      <c r="M24" s="165">
        <f>$N$88</f>
        <v>0</v>
      </c>
      <c r="N24" s="161"/>
      <c r="O24" s="161"/>
      <c r="P24" s="161"/>
      <c r="R24" s="22"/>
    </row>
    <row r="25" spans="2:18" s="6" customFormat="1" ht="15" customHeight="1">
      <c r="B25" s="21"/>
      <c r="D25" s="20" t="s">
        <v>108</v>
      </c>
      <c r="M25" s="165">
        <f>$N$100</f>
        <v>0</v>
      </c>
      <c r="N25" s="161"/>
      <c r="O25" s="161"/>
      <c r="P25" s="161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91" t="s">
        <v>38</v>
      </c>
      <c r="M27" s="195">
        <f>ROUNDUP($M$24+$M$25,2)</f>
        <v>0</v>
      </c>
      <c r="N27" s="161"/>
      <c r="O27" s="161"/>
      <c r="P27" s="161"/>
      <c r="R27" s="22"/>
    </row>
    <row r="28" spans="2:18" s="6" customFormat="1" ht="7.5" customHeight="1">
      <c r="B28" s="2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R28" s="22"/>
    </row>
    <row r="29" spans="2:18" s="6" customFormat="1" ht="15" customHeight="1">
      <c r="B29" s="21"/>
      <c r="D29" s="26" t="s">
        <v>39</v>
      </c>
      <c r="E29" s="26" t="s">
        <v>40</v>
      </c>
      <c r="F29" s="27">
        <v>0.21</v>
      </c>
      <c r="G29" s="92" t="s">
        <v>41</v>
      </c>
      <c r="H29" s="196">
        <f>ROUNDUP((((SUM($BE$100:$BE$107)+SUM($BE$125:$BE$185))+SUM($BE$187:$BE$191))),2)</f>
        <v>0</v>
      </c>
      <c r="I29" s="161"/>
      <c r="J29" s="161"/>
      <c r="M29" s="196">
        <f>ROUNDUP((((SUM($BE$100:$BE$107)+SUM($BE$125:$BE$185))*$F$29)+SUM($BE$187:$BE$191)*$F$29),1)</f>
        <v>0</v>
      </c>
      <c r="N29" s="161"/>
      <c r="O29" s="161"/>
      <c r="P29" s="161"/>
      <c r="R29" s="22"/>
    </row>
    <row r="30" spans="2:18" s="6" customFormat="1" ht="15" customHeight="1">
      <c r="B30" s="21"/>
      <c r="E30" s="26" t="s">
        <v>42</v>
      </c>
      <c r="F30" s="27">
        <v>0.15</v>
      </c>
      <c r="G30" s="92" t="s">
        <v>41</v>
      </c>
      <c r="H30" s="196">
        <f>ROUNDUP((((SUM($BF$100:$BF$107)+SUM($BF$125:$BF$185))+SUM($BF$187:$BF$191))),2)</f>
        <v>0</v>
      </c>
      <c r="I30" s="161"/>
      <c r="J30" s="161"/>
      <c r="M30" s="196">
        <f>ROUNDUP((((SUM($BF$100:$BF$107)+SUM($BF$125:$BF$185))*$F$30)+SUM($BF$187:$BF$191)*$F$30),1)</f>
        <v>0</v>
      </c>
      <c r="N30" s="161"/>
      <c r="O30" s="161"/>
      <c r="P30" s="161"/>
      <c r="R30" s="22"/>
    </row>
    <row r="31" spans="2:18" s="6" customFormat="1" ht="15" customHeight="1" hidden="1">
      <c r="B31" s="21"/>
      <c r="E31" s="26" t="s">
        <v>43</v>
      </c>
      <c r="F31" s="27">
        <v>0.21</v>
      </c>
      <c r="G31" s="92" t="s">
        <v>41</v>
      </c>
      <c r="H31" s="196">
        <f>ROUNDUP((((SUM($BG$100:$BG$107)+SUM($BG$125:$BG$185))+SUM($BG$187:$BG$191))),2)</f>
        <v>0</v>
      </c>
      <c r="I31" s="161"/>
      <c r="J31" s="161"/>
      <c r="M31" s="196">
        <v>0</v>
      </c>
      <c r="N31" s="161"/>
      <c r="O31" s="161"/>
      <c r="P31" s="161"/>
      <c r="R31" s="22"/>
    </row>
    <row r="32" spans="2:18" s="6" customFormat="1" ht="15" customHeight="1" hidden="1">
      <c r="B32" s="21"/>
      <c r="E32" s="26" t="s">
        <v>44</v>
      </c>
      <c r="F32" s="27">
        <v>0.15</v>
      </c>
      <c r="G32" s="92" t="s">
        <v>41</v>
      </c>
      <c r="H32" s="196">
        <f>ROUNDUP((((SUM($BH$100:$BH$107)+SUM($BH$125:$BH$185))+SUM($BH$187:$BH$191))),2)</f>
        <v>0</v>
      </c>
      <c r="I32" s="161"/>
      <c r="J32" s="161"/>
      <c r="M32" s="196">
        <v>0</v>
      </c>
      <c r="N32" s="161"/>
      <c r="O32" s="161"/>
      <c r="P32" s="161"/>
      <c r="R32" s="22"/>
    </row>
    <row r="33" spans="2:18" s="6" customFormat="1" ht="15" customHeight="1" hidden="1">
      <c r="B33" s="21"/>
      <c r="E33" s="26" t="s">
        <v>45</v>
      </c>
      <c r="F33" s="27">
        <v>0</v>
      </c>
      <c r="G33" s="92" t="s">
        <v>41</v>
      </c>
      <c r="H33" s="196">
        <f>ROUNDUP((((SUM($BI$100:$BI$107)+SUM($BI$125:$BI$185))+SUM($BI$187:$BI$191))),2)</f>
        <v>0</v>
      </c>
      <c r="I33" s="161"/>
      <c r="J33" s="161"/>
      <c r="M33" s="196">
        <v>0</v>
      </c>
      <c r="N33" s="161"/>
      <c r="O33" s="161"/>
      <c r="P33" s="161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30"/>
      <c r="D35" s="31" t="s">
        <v>46</v>
      </c>
      <c r="E35" s="32"/>
      <c r="F35" s="32"/>
      <c r="G35" s="93" t="s">
        <v>47</v>
      </c>
      <c r="H35" s="33" t="s">
        <v>48</v>
      </c>
      <c r="I35" s="32"/>
      <c r="J35" s="32"/>
      <c r="K35" s="32"/>
      <c r="L35" s="172">
        <f>ROUNDUP(SUM($M$27:$M$33),2)</f>
        <v>0</v>
      </c>
      <c r="M35" s="171"/>
      <c r="N35" s="171"/>
      <c r="O35" s="171"/>
      <c r="P35" s="173"/>
      <c r="Q35" s="30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4" t="s">
        <v>49</v>
      </c>
      <c r="E50" s="35"/>
      <c r="F50" s="35"/>
      <c r="G50" s="35"/>
      <c r="H50" s="36"/>
      <c r="J50" s="34" t="s">
        <v>50</v>
      </c>
      <c r="K50" s="35"/>
      <c r="L50" s="35"/>
      <c r="M50" s="35"/>
      <c r="N50" s="35"/>
      <c r="O50" s="35"/>
      <c r="P50" s="36"/>
      <c r="R50" s="22"/>
    </row>
    <row r="51" spans="2:18" s="2" customFormat="1" ht="14.25" customHeight="1">
      <c r="B51" s="10"/>
      <c r="D51" s="37"/>
      <c r="H51" s="38"/>
      <c r="J51" s="37"/>
      <c r="P51" s="38"/>
      <c r="R51" s="11"/>
    </row>
    <row r="52" spans="2:18" s="2" customFormat="1" ht="14.25" customHeight="1">
      <c r="B52" s="10"/>
      <c r="D52" s="37"/>
      <c r="H52" s="38"/>
      <c r="J52" s="37"/>
      <c r="P52" s="38"/>
      <c r="R52" s="11"/>
    </row>
    <row r="53" spans="2:18" s="2" customFormat="1" ht="14.25" customHeight="1">
      <c r="B53" s="10"/>
      <c r="D53" s="37"/>
      <c r="H53" s="38"/>
      <c r="J53" s="37"/>
      <c r="P53" s="38"/>
      <c r="R53" s="11"/>
    </row>
    <row r="54" spans="2:18" s="2" customFormat="1" ht="14.25" customHeight="1">
      <c r="B54" s="10"/>
      <c r="D54" s="37"/>
      <c r="H54" s="38"/>
      <c r="J54" s="37"/>
      <c r="P54" s="38"/>
      <c r="R54" s="11"/>
    </row>
    <row r="55" spans="2:18" s="2" customFormat="1" ht="14.25" customHeight="1">
      <c r="B55" s="10"/>
      <c r="D55" s="37"/>
      <c r="H55" s="38"/>
      <c r="J55" s="37"/>
      <c r="P55" s="38"/>
      <c r="R55" s="11"/>
    </row>
    <row r="56" spans="2:18" s="2" customFormat="1" ht="14.25" customHeight="1">
      <c r="B56" s="10"/>
      <c r="D56" s="37"/>
      <c r="H56" s="38"/>
      <c r="J56" s="37"/>
      <c r="P56" s="38"/>
      <c r="R56" s="11"/>
    </row>
    <row r="57" spans="2:18" s="2" customFormat="1" ht="14.25" customHeight="1">
      <c r="B57" s="10"/>
      <c r="D57" s="37"/>
      <c r="H57" s="38"/>
      <c r="J57" s="37"/>
      <c r="P57" s="38"/>
      <c r="R57" s="11"/>
    </row>
    <row r="58" spans="2:18" s="2" customFormat="1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1"/>
      <c r="D59" s="39" t="s">
        <v>51</v>
      </c>
      <c r="E59" s="40"/>
      <c r="F59" s="40"/>
      <c r="G59" s="41" t="s">
        <v>52</v>
      </c>
      <c r="H59" s="42"/>
      <c r="J59" s="39" t="s">
        <v>51</v>
      </c>
      <c r="K59" s="40"/>
      <c r="L59" s="40"/>
      <c r="M59" s="40"/>
      <c r="N59" s="41" t="s">
        <v>52</v>
      </c>
      <c r="O59" s="40"/>
      <c r="P59" s="42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4" t="s">
        <v>53</v>
      </c>
      <c r="E61" s="35"/>
      <c r="F61" s="35"/>
      <c r="G61" s="35"/>
      <c r="H61" s="36"/>
      <c r="J61" s="34" t="s">
        <v>54</v>
      </c>
      <c r="K61" s="35"/>
      <c r="L61" s="35"/>
      <c r="M61" s="35"/>
      <c r="N61" s="35"/>
      <c r="O61" s="35"/>
      <c r="P61" s="36"/>
      <c r="R61" s="22"/>
    </row>
    <row r="62" spans="2:18" s="2" customFormat="1" ht="14.25" customHeight="1">
      <c r="B62" s="10"/>
      <c r="D62" s="37"/>
      <c r="H62" s="38"/>
      <c r="J62" s="37"/>
      <c r="P62" s="38"/>
      <c r="R62" s="11"/>
    </row>
    <row r="63" spans="2:18" s="2" customFormat="1" ht="14.25" customHeight="1">
      <c r="B63" s="10"/>
      <c r="D63" s="37"/>
      <c r="H63" s="38"/>
      <c r="J63" s="37"/>
      <c r="P63" s="38"/>
      <c r="R63" s="11"/>
    </row>
    <row r="64" spans="2:18" s="2" customFormat="1" ht="14.25" customHeight="1">
      <c r="B64" s="10"/>
      <c r="D64" s="37"/>
      <c r="H64" s="38"/>
      <c r="J64" s="37"/>
      <c r="P64" s="38"/>
      <c r="R64" s="11"/>
    </row>
    <row r="65" spans="2:18" s="2" customFormat="1" ht="14.25" customHeight="1">
      <c r="B65" s="10"/>
      <c r="D65" s="37"/>
      <c r="H65" s="38"/>
      <c r="J65" s="37"/>
      <c r="P65" s="38"/>
      <c r="R65" s="11"/>
    </row>
    <row r="66" spans="2:18" s="2" customFormat="1" ht="14.25" customHeight="1">
      <c r="B66" s="10"/>
      <c r="D66" s="37"/>
      <c r="H66" s="38"/>
      <c r="J66" s="37"/>
      <c r="P66" s="38"/>
      <c r="R66" s="11"/>
    </row>
    <row r="67" spans="2:18" s="2" customFormat="1" ht="14.25" customHeight="1">
      <c r="B67" s="10"/>
      <c r="D67" s="37"/>
      <c r="H67" s="38"/>
      <c r="J67" s="37"/>
      <c r="P67" s="38"/>
      <c r="R67" s="11"/>
    </row>
    <row r="68" spans="2:18" s="2" customFormat="1" ht="14.25" customHeight="1">
      <c r="B68" s="10"/>
      <c r="D68" s="37"/>
      <c r="H68" s="38"/>
      <c r="J68" s="37"/>
      <c r="P68" s="38"/>
      <c r="R68" s="11"/>
    </row>
    <row r="69" spans="2:18" s="2" customFormat="1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1"/>
      <c r="D70" s="39" t="s">
        <v>51</v>
      </c>
      <c r="E70" s="40"/>
      <c r="F70" s="40"/>
      <c r="G70" s="41" t="s">
        <v>52</v>
      </c>
      <c r="H70" s="42"/>
      <c r="J70" s="39" t="s">
        <v>51</v>
      </c>
      <c r="K70" s="40"/>
      <c r="L70" s="40"/>
      <c r="M70" s="40"/>
      <c r="N70" s="41" t="s">
        <v>52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59" t="s">
        <v>121</v>
      </c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22"/>
    </row>
    <row r="77" spans="2:18" s="6" customFormat="1" ht="7.5" customHeight="1">
      <c r="B77" s="21"/>
      <c r="R77" s="22"/>
    </row>
    <row r="78" spans="2:18" s="6" customFormat="1" ht="15" customHeight="1">
      <c r="B78" s="21"/>
      <c r="C78" s="15" t="s">
        <v>14</v>
      </c>
      <c r="F78" s="192" t="str">
        <f>$F$6</f>
        <v>1327 - Stavební úpravy stávajícího objektu - rozdělení sklepních kójí</v>
      </c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R78" s="22"/>
    </row>
    <row r="79" spans="2:18" s="6" customFormat="1" ht="15" customHeight="1">
      <c r="B79" s="21"/>
      <c r="C79" s="14" t="s">
        <v>118</v>
      </c>
      <c r="F79" s="163" t="str">
        <f>$F$7</f>
        <v>1327 d - Sklepní kóje čp. 638</v>
      </c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5" t="s">
        <v>18</v>
      </c>
      <c r="F81" s="16" t="str">
        <f>$F$9</f>
        <v>Kolín II, Benešova čp. 636 - 641</v>
      </c>
      <c r="K81" s="15" t="s">
        <v>20</v>
      </c>
      <c r="M81" s="197" t="str">
        <f>IF($O$9="","",$O$9)</f>
        <v>08.07.2013</v>
      </c>
      <c r="N81" s="161"/>
      <c r="O81" s="161"/>
      <c r="P81" s="161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5" t="s">
        <v>24</v>
      </c>
      <c r="F83" s="16" t="str">
        <f>$E$12</f>
        <v>Město Kolín, Karlovo náměstí 78, 280 02 Kolín 1</v>
      </c>
      <c r="K83" s="15" t="s">
        <v>30</v>
      </c>
      <c r="M83" s="174" t="str">
        <f>$E$18</f>
        <v>Ing. Karel Vrátný, Rubešova 60, 280 02 Kolín</v>
      </c>
      <c r="N83" s="161"/>
      <c r="O83" s="161"/>
      <c r="P83" s="161"/>
      <c r="Q83" s="161"/>
      <c r="R83" s="22"/>
    </row>
    <row r="84" spans="2:18" s="6" customFormat="1" ht="15" customHeight="1">
      <c r="B84" s="21"/>
      <c r="C84" s="15" t="s">
        <v>28</v>
      </c>
      <c r="F84" s="16" t="str">
        <f>IF($E$15="","",$E$15)</f>
        <v>Vyplň údaj</v>
      </c>
      <c r="K84" s="15" t="s">
        <v>33</v>
      </c>
      <c r="M84" s="174" t="str">
        <f>$E$21</f>
        <v>Ing. Karel Vrátný, Rubešova 60, 280 02 Kolín</v>
      </c>
      <c r="N84" s="161"/>
      <c r="O84" s="161"/>
      <c r="P84" s="161"/>
      <c r="Q84" s="161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198" t="s">
        <v>122</v>
      </c>
      <c r="D86" s="190"/>
      <c r="E86" s="190"/>
      <c r="F86" s="190"/>
      <c r="G86" s="190"/>
      <c r="H86" s="30"/>
      <c r="I86" s="30"/>
      <c r="J86" s="30"/>
      <c r="K86" s="30"/>
      <c r="L86" s="30"/>
      <c r="M86" s="30"/>
      <c r="N86" s="198" t="s">
        <v>123</v>
      </c>
      <c r="O86" s="161"/>
      <c r="P86" s="161"/>
      <c r="Q86" s="161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0" t="s">
        <v>124</v>
      </c>
      <c r="N88" s="187">
        <f>ROUNDUP($N$125,2)</f>
        <v>0</v>
      </c>
      <c r="O88" s="161"/>
      <c r="P88" s="161"/>
      <c r="Q88" s="161"/>
      <c r="R88" s="22"/>
      <c r="AU88" s="6" t="s">
        <v>125</v>
      </c>
    </row>
    <row r="89" spans="2:18" s="65" customFormat="1" ht="25.5" customHeight="1">
      <c r="B89" s="94"/>
      <c r="D89" s="95" t="s">
        <v>126</v>
      </c>
      <c r="N89" s="199">
        <f>ROUNDUP($N$126,2)</f>
        <v>0</v>
      </c>
      <c r="O89" s="200"/>
      <c r="P89" s="200"/>
      <c r="Q89" s="200"/>
      <c r="R89" s="96"/>
    </row>
    <row r="90" spans="2:18" s="90" customFormat="1" ht="21" customHeight="1">
      <c r="B90" s="97"/>
      <c r="D90" s="78" t="s">
        <v>127</v>
      </c>
      <c r="N90" s="185">
        <f>ROUNDUP($N$127,2)</f>
        <v>0</v>
      </c>
      <c r="O90" s="200"/>
      <c r="P90" s="200"/>
      <c r="Q90" s="200"/>
      <c r="R90" s="98"/>
    </row>
    <row r="91" spans="2:18" s="90" customFormat="1" ht="21" customHeight="1">
      <c r="B91" s="97"/>
      <c r="D91" s="78" t="s">
        <v>128</v>
      </c>
      <c r="N91" s="185">
        <f>ROUNDUP($N$133,2)</f>
        <v>0</v>
      </c>
      <c r="O91" s="200"/>
      <c r="P91" s="200"/>
      <c r="Q91" s="200"/>
      <c r="R91" s="98"/>
    </row>
    <row r="92" spans="2:18" s="90" customFormat="1" ht="21" customHeight="1">
      <c r="B92" s="97"/>
      <c r="D92" s="78" t="s">
        <v>129</v>
      </c>
      <c r="N92" s="185">
        <f>ROUNDUP($N$141,2)</f>
        <v>0</v>
      </c>
      <c r="O92" s="200"/>
      <c r="P92" s="200"/>
      <c r="Q92" s="200"/>
      <c r="R92" s="98"/>
    </row>
    <row r="93" spans="2:18" s="90" customFormat="1" ht="21" customHeight="1">
      <c r="B93" s="97"/>
      <c r="D93" s="78" t="s">
        <v>384</v>
      </c>
      <c r="N93" s="185">
        <f>ROUNDUP($N$147,2)</f>
        <v>0</v>
      </c>
      <c r="O93" s="200"/>
      <c r="P93" s="200"/>
      <c r="Q93" s="200"/>
      <c r="R93" s="98"/>
    </row>
    <row r="94" spans="2:18" s="65" customFormat="1" ht="25.5" customHeight="1">
      <c r="B94" s="94"/>
      <c r="D94" s="95" t="s">
        <v>131</v>
      </c>
      <c r="N94" s="199">
        <f>ROUNDUP($N$154,2)</f>
        <v>0</v>
      </c>
      <c r="O94" s="200"/>
      <c r="P94" s="200"/>
      <c r="Q94" s="200"/>
      <c r="R94" s="96"/>
    </row>
    <row r="95" spans="2:18" s="90" customFormat="1" ht="21" customHeight="1">
      <c r="B95" s="97"/>
      <c r="D95" s="78" t="s">
        <v>134</v>
      </c>
      <c r="N95" s="185">
        <f>ROUNDUP($N$155,2)</f>
        <v>0</v>
      </c>
      <c r="O95" s="200"/>
      <c r="P95" s="200"/>
      <c r="Q95" s="200"/>
      <c r="R95" s="98"/>
    </row>
    <row r="96" spans="2:18" s="90" customFormat="1" ht="21" customHeight="1">
      <c r="B96" s="97"/>
      <c r="D96" s="78" t="s">
        <v>135</v>
      </c>
      <c r="N96" s="185">
        <f>ROUNDUP($N$164,2)</f>
        <v>0</v>
      </c>
      <c r="O96" s="200"/>
      <c r="P96" s="200"/>
      <c r="Q96" s="200"/>
      <c r="R96" s="98"/>
    </row>
    <row r="97" spans="2:18" s="90" customFormat="1" ht="21" customHeight="1">
      <c r="B97" s="97"/>
      <c r="D97" s="78" t="s">
        <v>136</v>
      </c>
      <c r="N97" s="185">
        <f>ROUNDUP($N$170,2)</f>
        <v>0</v>
      </c>
      <c r="O97" s="200"/>
      <c r="P97" s="200"/>
      <c r="Q97" s="200"/>
      <c r="R97" s="98"/>
    </row>
    <row r="98" spans="2:18" s="65" customFormat="1" ht="22.5" customHeight="1">
      <c r="B98" s="94"/>
      <c r="D98" s="95" t="s">
        <v>137</v>
      </c>
      <c r="N98" s="201">
        <f>$N$186</f>
        <v>0</v>
      </c>
      <c r="O98" s="200"/>
      <c r="P98" s="200"/>
      <c r="Q98" s="200"/>
      <c r="R98" s="96"/>
    </row>
    <row r="99" spans="2:18" s="6" customFormat="1" ht="22.5" customHeight="1">
      <c r="B99" s="21"/>
      <c r="R99" s="22"/>
    </row>
    <row r="100" spans="2:21" s="6" customFormat="1" ht="30" customHeight="1">
      <c r="B100" s="21"/>
      <c r="C100" s="60" t="s">
        <v>138</v>
      </c>
      <c r="N100" s="187">
        <f>ROUNDUP($N$101+$N$102+$N$103+$N$104+$N$105+$N$106,2)</f>
        <v>0</v>
      </c>
      <c r="O100" s="161"/>
      <c r="P100" s="161"/>
      <c r="Q100" s="161"/>
      <c r="R100" s="22"/>
      <c r="T100" s="99"/>
      <c r="U100" s="100" t="s">
        <v>39</v>
      </c>
    </row>
    <row r="101" spans="2:62" s="6" customFormat="1" ht="18.75" customHeight="1">
      <c r="B101" s="21"/>
      <c r="D101" s="186" t="s">
        <v>139</v>
      </c>
      <c r="E101" s="161"/>
      <c r="F101" s="161"/>
      <c r="G101" s="161"/>
      <c r="H101" s="161"/>
      <c r="N101" s="184">
        <f>ROUNDUP($N$88*$T$101,2)</f>
        <v>0</v>
      </c>
      <c r="O101" s="161"/>
      <c r="P101" s="161"/>
      <c r="Q101" s="161"/>
      <c r="R101" s="22"/>
      <c r="T101" s="101"/>
      <c r="U101" s="102" t="s">
        <v>42</v>
      </c>
      <c r="AY101" s="6" t="s">
        <v>140</v>
      </c>
      <c r="BE101" s="82">
        <f>IF($U$101="základní",$N$101,0)</f>
        <v>0</v>
      </c>
      <c r="BF101" s="82">
        <f>IF($U$101="snížená",$N$101,0)</f>
        <v>0</v>
      </c>
      <c r="BG101" s="82">
        <f>IF($U$101="zákl. přenesená",$N$101,0)</f>
        <v>0</v>
      </c>
      <c r="BH101" s="82">
        <f>IF($U$101="sníž. přenesená",$N$101,0)</f>
        <v>0</v>
      </c>
      <c r="BI101" s="82">
        <f>IF($U$101="nulová",$N$101,0)</f>
        <v>0</v>
      </c>
      <c r="BJ101" s="6" t="s">
        <v>141</v>
      </c>
    </row>
    <row r="102" spans="2:62" s="6" customFormat="1" ht="18.75" customHeight="1">
      <c r="B102" s="21"/>
      <c r="D102" s="186" t="s">
        <v>142</v>
      </c>
      <c r="E102" s="161"/>
      <c r="F102" s="161"/>
      <c r="G102" s="161"/>
      <c r="H102" s="161"/>
      <c r="N102" s="184">
        <f>ROUNDUP($N$88*$T$102,2)</f>
        <v>0</v>
      </c>
      <c r="O102" s="161"/>
      <c r="P102" s="161"/>
      <c r="Q102" s="161"/>
      <c r="R102" s="22"/>
      <c r="T102" s="101"/>
      <c r="U102" s="102" t="s">
        <v>42</v>
      </c>
      <c r="AY102" s="6" t="s">
        <v>140</v>
      </c>
      <c r="BE102" s="82">
        <f>IF($U$102="základní",$N$102,0)</f>
        <v>0</v>
      </c>
      <c r="BF102" s="82">
        <f>IF($U$102="snížená",$N$102,0)</f>
        <v>0</v>
      </c>
      <c r="BG102" s="82">
        <f>IF($U$102="zákl. přenesená",$N$102,0)</f>
        <v>0</v>
      </c>
      <c r="BH102" s="82">
        <f>IF($U$102="sníž. přenesená",$N$102,0)</f>
        <v>0</v>
      </c>
      <c r="BI102" s="82">
        <f>IF($U$102="nulová",$N$102,0)</f>
        <v>0</v>
      </c>
      <c r="BJ102" s="6" t="s">
        <v>141</v>
      </c>
    </row>
    <row r="103" spans="2:62" s="6" customFormat="1" ht="18.75" customHeight="1">
      <c r="B103" s="21"/>
      <c r="D103" s="186" t="s">
        <v>143</v>
      </c>
      <c r="E103" s="161"/>
      <c r="F103" s="161"/>
      <c r="G103" s="161"/>
      <c r="H103" s="161"/>
      <c r="N103" s="184">
        <f>ROUNDUP($N$88*$T$103,2)</f>
        <v>0</v>
      </c>
      <c r="O103" s="161"/>
      <c r="P103" s="161"/>
      <c r="Q103" s="161"/>
      <c r="R103" s="22"/>
      <c r="T103" s="101"/>
      <c r="U103" s="102" t="s">
        <v>42</v>
      </c>
      <c r="AY103" s="6" t="s">
        <v>140</v>
      </c>
      <c r="BE103" s="82">
        <f>IF($U$103="základní",$N$103,0)</f>
        <v>0</v>
      </c>
      <c r="BF103" s="82">
        <f>IF($U$103="snížená",$N$103,0)</f>
        <v>0</v>
      </c>
      <c r="BG103" s="82">
        <f>IF($U$103="zákl. přenesená",$N$103,0)</f>
        <v>0</v>
      </c>
      <c r="BH103" s="82">
        <f>IF($U$103="sníž. přenesená",$N$103,0)</f>
        <v>0</v>
      </c>
      <c r="BI103" s="82">
        <f>IF($U$103="nulová",$N$103,0)</f>
        <v>0</v>
      </c>
      <c r="BJ103" s="6" t="s">
        <v>141</v>
      </c>
    </row>
    <row r="104" spans="2:62" s="6" customFormat="1" ht="18.75" customHeight="1">
      <c r="B104" s="21"/>
      <c r="D104" s="186" t="s">
        <v>144</v>
      </c>
      <c r="E104" s="161"/>
      <c r="F104" s="161"/>
      <c r="G104" s="161"/>
      <c r="H104" s="161"/>
      <c r="N104" s="184">
        <f>ROUNDUP($N$88*$T$104,2)</f>
        <v>0</v>
      </c>
      <c r="O104" s="161"/>
      <c r="P104" s="161"/>
      <c r="Q104" s="161"/>
      <c r="R104" s="22"/>
      <c r="T104" s="101"/>
      <c r="U104" s="102" t="s">
        <v>42</v>
      </c>
      <c r="AY104" s="6" t="s">
        <v>140</v>
      </c>
      <c r="BE104" s="82">
        <f>IF($U$104="základní",$N$104,0)</f>
        <v>0</v>
      </c>
      <c r="BF104" s="82">
        <f>IF($U$104="snížená",$N$104,0)</f>
        <v>0</v>
      </c>
      <c r="BG104" s="82">
        <f>IF($U$104="zákl. přenesená",$N$104,0)</f>
        <v>0</v>
      </c>
      <c r="BH104" s="82">
        <f>IF($U$104="sníž. přenesená",$N$104,0)</f>
        <v>0</v>
      </c>
      <c r="BI104" s="82">
        <f>IF($U$104="nulová",$N$104,0)</f>
        <v>0</v>
      </c>
      <c r="BJ104" s="6" t="s">
        <v>141</v>
      </c>
    </row>
    <row r="105" spans="2:62" s="6" customFormat="1" ht="18.75" customHeight="1">
      <c r="B105" s="21"/>
      <c r="D105" s="186" t="s">
        <v>145</v>
      </c>
      <c r="E105" s="161"/>
      <c r="F105" s="161"/>
      <c r="G105" s="161"/>
      <c r="H105" s="161"/>
      <c r="N105" s="184">
        <f>ROUNDUP($N$88*$T$105,2)</f>
        <v>0</v>
      </c>
      <c r="O105" s="161"/>
      <c r="P105" s="161"/>
      <c r="Q105" s="161"/>
      <c r="R105" s="22"/>
      <c r="T105" s="101"/>
      <c r="U105" s="102" t="s">
        <v>42</v>
      </c>
      <c r="AY105" s="6" t="s">
        <v>140</v>
      </c>
      <c r="BE105" s="82">
        <f>IF($U$105="základní",$N$105,0)</f>
        <v>0</v>
      </c>
      <c r="BF105" s="82">
        <f>IF($U$105="snížená",$N$105,0)</f>
        <v>0</v>
      </c>
      <c r="BG105" s="82">
        <f>IF($U$105="zákl. přenesená",$N$105,0)</f>
        <v>0</v>
      </c>
      <c r="BH105" s="82">
        <f>IF($U$105="sníž. přenesená",$N$105,0)</f>
        <v>0</v>
      </c>
      <c r="BI105" s="82">
        <f>IF($U$105="nulová",$N$105,0)</f>
        <v>0</v>
      </c>
      <c r="BJ105" s="6" t="s">
        <v>141</v>
      </c>
    </row>
    <row r="106" spans="2:62" s="6" customFormat="1" ht="18.75" customHeight="1">
      <c r="B106" s="21"/>
      <c r="D106" s="78" t="s">
        <v>146</v>
      </c>
      <c r="N106" s="184">
        <f>ROUNDUP($N$88*$T$106,2)</f>
        <v>0</v>
      </c>
      <c r="O106" s="161"/>
      <c r="P106" s="161"/>
      <c r="Q106" s="161"/>
      <c r="R106" s="22"/>
      <c r="T106" s="103"/>
      <c r="U106" s="104" t="s">
        <v>42</v>
      </c>
      <c r="AY106" s="6" t="s">
        <v>147</v>
      </c>
      <c r="BE106" s="82">
        <f>IF($U$106="základní",$N$106,0)</f>
        <v>0</v>
      </c>
      <c r="BF106" s="82">
        <f>IF($U$106="snížená",$N$106,0)</f>
        <v>0</v>
      </c>
      <c r="BG106" s="82">
        <f>IF($U$106="zákl. přenesená",$N$106,0)</f>
        <v>0</v>
      </c>
      <c r="BH106" s="82">
        <f>IF($U$106="sníž. přenesená",$N$106,0)</f>
        <v>0</v>
      </c>
      <c r="BI106" s="82">
        <f>IF($U$106="nulová",$N$106,0)</f>
        <v>0</v>
      </c>
      <c r="BJ106" s="6" t="s">
        <v>141</v>
      </c>
    </row>
    <row r="107" spans="2:18" s="6" customFormat="1" ht="14.25" customHeight="1">
      <c r="B107" s="21"/>
      <c r="R107" s="22"/>
    </row>
    <row r="108" spans="2:18" s="6" customFormat="1" ht="30" customHeight="1">
      <c r="B108" s="21"/>
      <c r="C108" s="89" t="s">
        <v>115</v>
      </c>
      <c r="D108" s="30"/>
      <c r="E108" s="30"/>
      <c r="F108" s="30"/>
      <c r="G108" s="30"/>
      <c r="H108" s="30"/>
      <c r="I108" s="30"/>
      <c r="J108" s="30"/>
      <c r="K108" s="30"/>
      <c r="L108" s="189">
        <f>ROUNDUP(SUM($N$88+$N$100),2)</f>
        <v>0</v>
      </c>
      <c r="M108" s="190"/>
      <c r="N108" s="190"/>
      <c r="O108" s="190"/>
      <c r="P108" s="190"/>
      <c r="Q108" s="190"/>
      <c r="R108" s="22"/>
    </row>
    <row r="109" spans="2:18" s="6" customFormat="1" ht="7.5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5"/>
    </row>
    <row r="113" spans="2:18" s="6" customFormat="1" ht="7.5" customHeight="1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8"/>
    </row>
    <row r="114" spans="2:18" s="6" customFormat="1" ht="37.5" customHeight="1">
      <c r="B114" s="21"/>
      <c r="C114" s="159" t="s">
        <v>148</v>
      </c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22"/>
    </row>
    <row r="115" spans="2:18" s="6" customFormat="1" ht="7.5" customHeight="1">
      <c r="B115" s="21"/>
      <c r="R115" s="22"/>
    </row>
    <row r="116" spans="2:18" s="6" customFormat="1" ht="15" customHeight="1">
      <c r="B116" s="21"/>
      <c r="C116" s="15" t="s">
        <v>14</v>
      </c>
      <c r="F116" s="192" t="str">
        <f>$F$6</f>
        <v>1327 - Stavební úpravy stávajícího objektu - rozdělení sklepních kójí</v>
      </c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R116" s="22"/>
    </row>
    <row r="117" spans="2:18" s="6" customFormat="1" ht="15" customHeight="1">
      <c r="B117" s="21"/>
      <c r="C117" s="14" t="s">
        <v>118</v>
      </c>
      <c r="F117" s="163" t="str">
        <f>$F$7</f>
        <v>1327 d - Sklepní kóje čp. 638</v>
      </c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R117" s="22"/>
    </row>
    <row r="118" spans="2:18" s="6" customFormat="1" ht="7.5" customHeight="1">
      <c r="B118" s="21"/>
      <c r="R118" s="22"/>
    </row>
    <row r="119" spans="2:18" s="6" customFormat="1" ht="18.75" customHeight="1">
      <c r="B119" s="21"/>
      <c r="C119" s="15" t="s">
        <v>18</v>
      </c>
      <c r="F119" s="16" t="str">
        <f>$F$9</f>
        <v>Kolín II, Benešova čp. 636 - 641</v>
      </c>
      <c r="K119" s="15" t="s">
        <v>20</v>
      </c>
      <c r="M119" s="197" t="str">
        <f>IF($O$9="","",$O$9)</f>
        <v>08.07.2013</v>
      </c>
      <c r="N119" s="161"/>
      <c r="O119" s="161"/>
      <c r="P119" s="161"/>
      <c r="R119" s="22"/>
    </row>
    <row r="120" spans="2:18" s="6" customFormat="1" ht="7.5" customHeight="1">
      <c r="B120" s="21"/>
      <c r="R120" s="22"/>
    </row>
    <row r="121" spans="2:18" s="6" customFormat="1" ht="15.75" customHeight="1">
      <c r="B121" s="21"/>
      <c r="C121" s="15" t="s">
        <v>24</v>
      </c>
      <c r="F121" s="16" t="str">
        <f>$E$12</f>
        <v>Město Kolín, Karlovo náměstí 78, 280 02 Kolín 1</v>
      </c>
      <c r="K121" s="15" t="s">
        <v>30</v>
      </c>
      <c r="M121" s="174" t="str">
        <f>$E$18</f>
        <v>Ing. Karel Vrátný, Rubešova 60, 280 02 Kolín</v>
      </c>
      <c r="N121" s="161"/>
      <c r="O121" s="161"/>
      <c r="P121" s="161"/>
      <c r="Q121" s="161"/>
      <c r="R121" s="22"/>
    </row>
    <row r="122" spans="2:18" s="6" customFormat="1" ht="15" customHeight="1">
      <c r="B122" s="21"/>
      <c r="C122" s="15" t="s">
        <v>28</v>
      </c>
      <c r="F122" s="16" t="str">
        <f>IF($E$15="","",$E$15)</f>
        <v>Vyplň údaj</v>
      </c>
      <c r="K122" s="15" t="s">
        <v>33</v>
      </c>
      <c r="M122" s="174" t="str">
        <f>$E$21</f>
        <v>Ing. Karel Vrátný, Rubešova 60, 280 02 Kolín</v>
      </c>
      <c r="N122" s="161"/>
      <c r="O122" s="161"/>
      <c r="P122" s="161"/>
      <c r="Q122" s="161"/>
      <c r="R122" s="22"/>
    </row>
    <row r="123" spans="2:18" s="6" customFormat="1" ht="11.25" customHeight="1">
      <c r="B123" s="21"/>
      <c r="R123" s="22"/>
    </row>
    <row r="124" spans="2:27" s="105" customFormat="1" ht="30" customHeight="1">
      <c r="B124" s="106"/>
      <c r="C124" s="107" t="s">
        <v>149</v>
      </c>
      <c r="D124" s="108" t="s">
        <v>150</v>
      </c>
      <c r="E124" s="108" t="s">
        <v>57</v>
      </c>
      <c r="F124" s="202" t="s">
        <v>151</v>
      </c>
      <c r="G124" s="203"/>
      <c r="H124" s="203"/>
      <c r="I124" s="203"/>
      <c r="J124" s="108" t="s">
        <v>152</v>
      </c>
      <c r="K124" s="108" t="s">
        <v>153</v>
      </c>
      <c r="L124" s="202" t="s">
        <v>154</v>
      </c>
      <c r="M124" s="203"/>
      <c r="N124" s="202" t="s">
        <v>155</v>
      </c>
      <c r="O124" s="203"/>
      <c r="P124" s="203"/>
      <c r="Q124" s="204"/>
      <c r="R124" s="109"/>
      <c r="T124" s="55" t="s">
        <v>156</v>
      </c>
      <c r="U124" s="56" t="s">
        <v>39</v>
      </c>
      <c r="V124" s="56" t="s">
        <v>157</v>
      </c>
      <c r="W124" s="56" t="s">
        <v>158</v>
      </c>
      <c r="X124" s="56" t="s">
        <v>159</v>
      </c>
      <c r="Y124" s="56" t="s">
        <v>160</v>
      </c>
      <c r="Z124" s="56" t="s">
        <v>161</v>
      </c>
      <c r="AA124" s="57" t="s">
        <v>162</v>
      </c>
    </row>
    <row r="125" spans="2:63" s="6" customFormat="1" ht="30" customHeight="1">
      <c r="B125" s="21"/>
      <c r="C125" s="60" t="s">
        <v>120</v>
      </c>
      <c r="N125" s="221">
        <f>$BK$125</f>
        <v>0</v>
      </c>
      <c r="O125" s="161"/>
      <c r="P125" s="161"/>
      <c r="Q125" s="161"/>
      <c r="R125" s="22"/>
      <c r="T125" s="59"/>
      <c r="U125" s="35"/>
      <c r="V125" s="35"/>
      <c r="W125" s="110">
        <f>$W$126+$W$154+$W$186</f>
        <v>218.256443</v>
      </c>
      <c r="X125" s="35"/>
      <c r="Y125" s="110">
        <f>$Y$126+$Y$154+$Y$186</f>
        <v>3.9705545699999996</v>
      </c>
      <c r="Z125" s="35"/>
      <c r="AA125" s="111">
        <f>$AA$126+$AA$154+$AA$186</f>
        <v>0.7673160000000001</v>
      </c>
      <c r="AT125" s="6" t="s">
        <v>74</v>
      </c>
      <c r="AU125" s="6" t="s">
        <v>125</v>
      </c>
      <c r="BK125" s="112">
        <f>$BK$126+$BK$154+$BK$186</f>
        <v>0</v>
      </c>
    </row>
    <row r="126" spans="2:63" s="113" customFormat="1" ht="37.5" customHeight="1">
      <c r="B126" s="114"/>
      <c r="D126" s="115" t="s">
        <v>126</v>
      </c>
      <c r="N126" s="201">
        <f>$BK$126</f>
        <v>0</v>
      </c>
      <c r="O126" s="222"/>
      <c r="P126" s="222"/>
      <c r="Q126" s="222"/>
      <c r="R126" s="117"/>
      <c r="T126" s="118"/>
      <c r="W126" s="119">
        <f>$W$127+$W$133+$W$141+$W$147</f>
        <v>105.710687</v>
      </c>
      <c r="Y126" s="119">
        <f>$Y$127+$Y$133+$Y$141+$Y$147</f>
        <v>3.6177843999999997</v>
      </c>
      <c r="AA126" s="120">
        <f>$AA$127+$AA$133+$AA$141+$AA$147</f>
        <v>0</v>
      </c>
      <c r="AR126" s="116" t="s">
        <v>17</v>
      </c>
      <c r="AT126" s="116" t="s">
        <v>74</v>
      </c>
      <c r="AU126" s="116" t="s">
        <v>75</v>
      </c>
      <c r="AY126" s="116" t="s">
        <v>163</v>
      </c>
      <c r="BK126" s="121">
        <f>$BK$127+$BK$133+$BK$141+$BK$147</f>
        <v>0</v>
      </c>
    </row>
    <row r="127" spans="2:63" s="113" customFormat="1" ht="21" customHeight="1">
      <c r="B127" s="114"/>
      <c r="D127" s="122" t="s">
        <v>127</v>
      </c>
      <c r="N127" s="223">
        <f>$BK$127</f>
        <v>0</v>
      </c>
      <c r="O127" s="222"/>
      <c r="P127" s="222"/>
      <c r="Q127" s="222"/>
      <c r="R127" s="117"/>
      <c r="T127" s="118"/>
      <c r="W127" s="119">
        <f>SUM($W$128:$W$132)</f>
        <v>19.8128</v>
      </c>
      <c r="Y127" s="119">
        <f>SUM($Y$128:$Y$132)</f>
        <v>2.2386358399999993</v>
      </c>
      <c r="AA127" s="120">
        <f>SUM($AA$128:$AA$132)</f>
        <v>0</v>
      </c>
      <c r="AR127" s="116" t="s">
        <v>17</v>
      </c>
      <c r="AT127" s="116" t="s">
        <v>74</v>
      </c>
      <c r="AU127" s="116" t="s">
        <v>17</v>
      </c>
      <c r="AY127" s="116" t="s">
        <v>163</v>
      </c>
      <c r="BK127" s="121">
        <f>SUM($BK$128:$BK$132)</f>
        <v>0</v>
      </c>
    </row>
    <row r="128" spans="2:64" s="6" customFormat="1" ht="39" customHeight="1">
      <c r="B128" s="21"/>
      <c r="C128" s="123" t="s">
        <v>17</v>
      </c>
      <c r="D128" s="123" t="s">
        <v>164</v>
      </c>
      <c r="E128" s="124" t="s">
        <v>165</v>
      </c>
      <c r="F128" s="205" t="s">
        <v>166</v>
      </c>
      <c r="G128" s="206"/>
      <c r="H128" s="206"/>
      <c r="I128" s="206"/>
      <c r="J128" s="125" t="s">
        <v>167</v>
      </c>
      <c r="K128" s="126">
        <v>5</v>
      </c>
      <c r="L128" s="207">
        <v>0</v>
      </c>
      <c r="M128" s="206"/>
      <c r="N128" s="208">
        <f>ROUND($L$128*$K$128,2)</f>
        <v>0</v>
      </c>
      <c r="O128" s="206"/>
      <c r="P128" s="206"/>
      <c r="Q128" s="206"/>
      <c r="R128" s="22"/>
      <c r="T128" s="127"/>
      <c r="U128" s="28" t="s">
        <v>42</v>
      </c>
      <c r="V128" s="128">
        <v>0.196</v>
      </c>
      <c r="W128" s="128">
        <f>$V$128*$K$128</f>
        <v>0.98</v>
      </c>
      <c r="X128" s="128">
        <v>0.02684</v>
      </c>
      <c r="Y128" s="128">
        <f>$X$128*$K$128</f>
        <v>0.13419999999999999</v>
      </c>
      <c r="Z128" s="128">
        <v>0</v>
      </c>
      <c r="AA128" s="129">
        <f>$Z$128*$K$128</f>
        <v>0</v>
      </c>
      <c r="AR128" s="6" t="s">
        <v>168</v>
      </c>
      <c r="AT128" s="6" t="s">
        <v>164</v>
      </c>
      <c r="AU128" s="6" t="s">
        <v>141</v>
      </c>
      <c r="AY128" s="6" t="s">
        <v>163</v>
      </c>
      <c r="BE128" s="82">
        <f>IF($U$128="základní",$N$128,0)</f>
        <v>0</v>
      </c>
      <c r="BF128" s="82">
        <f>IF($U$128="snížená",$N$128,0)</f>
        <v>0</v>
      </c>
      <c r="BG128" s="82">
        <f>IF($U$128="zákl. přenesená",$N$128,0)</f>
        <v>0</v>
      </c>
      <c r="BH128" s="82">
        <f>IF($U$128="sníž. přenesená",$N$128,0)</f>
        <v>0</v>
      </c>
      <c r="BI128" s="82">
        <f>IF($U$128="nulová",$N$128,0)</f>
        <v>0</v>
      </c>
      <c r="BJ128" s="6" t="s">
        <v>141</v>
      </c>
      <c r="BK128" s="82">
        <f>ROUND($L$128*$K$128,2)</f>
        <v>0</v>
      </c>
      <c r="BL128" s="6" t="s">
        <v>168</v>
      </c>
    </row>
    <row r="129" spans="2:64" s="6" customFormat="1" ht="39" customHeight="1">
      <c r="B129" s="21"/>
      <c r="C129" s="123" t="s">
        <v>141</v>
      </c>
      <c r="D129" s="123" t="s">
        <v>164</v>
      </c>
      <c r="E129" s="124" t="s">
        <v>169</v>
      </c>
      <c r="F129" s="205" t="s">
        <v>170</v>
      </c>
      <c r="G129" s="206"/>
      <c r="H129" s="206"/>
      <c r="I129" s="206"/>
      <c r="J129" s="125" t="s">
        <v>171</v>
      </c>
      <c r="K129" s="126">
        <v>30.112</v>
      </c>
      <c r="L129" s="207">
        <v>0</v>
      </c>
      <c r="M129" s="206"/>
      <c r="N129" s="208">
        <f>ROUND($L$129*$K$129,2)</f>
        <v>0</v>
      </c>
      <c r="O129" s="206"/>
      <c r="P129" s="206"/>
      <c r="Q129" s="206"/>
      <c r="R129" s="22"/>
      <c r="T129" s="127"/>
      <c r="U129" s="28" t="s">
        <v>42</v>
      </c>
      <c r="V129" s="128">
        <v>0.525</v>
      </c>
      <c r="W129" s="128">
        <f>$V$129*$K$129</f>
        <v>15.8088</v>
      </c>
      <c r="X129" s="128">
        <v>0.06982</v>
      </c>
      <c r="Y129" s="128">
        <f>$X$129*$K$129</f>
        <v>2.1024198399999996</v>
      </c>
      <c r="Z129" s="128">
        <v>0</v>
      </c>
      <c r="AA129" s="129">
        <f>$Z$129*$K$129</f>
        <v>0</v>
      </c>
      <c r="AR129" s="6" t="s">
        <v>168</v>
      </c>
      <c r="AT129" s="6" t="s">
        <v>164</v>
      </c>
      <c r="AU129" s="6" t="s">
        <v>141</v>
      </c>
      <c r="AY129" s="6" t="s">
        <v>163</v>
      </c>
      <c r="BE129" s="82">
        <f>IF($U$129="základní",$N$129,0)</f>
        <v>0</v>
      </c>
      <c r="BF129" s="82">
        <f>IF($U$129="snížená",$N$129,0)</f>
        <v>0</v>
      </c>
      <c r="BG129" s="82">
        <f>IF($U$129="zákl. přenesená",$N$129,0)</f>
        <v>0</v>
      </c>
      <c r="BH129" s="82">
        <f>IF($U$129="sníž. přenesená",$N$129,0)</f>
        <v>0</v>
      </c>
      <c r="BI129" s="82">
        <f>IF($U$129="nulová",$N$129,0)</f>
        <v>0</v>
      </c>
      <c r="BJ129" s="6" t="s">
        <v>141</v>
      </c>
      <c r="BK129" s="82">
        <f>ROUND($L$129*$K$129,2)</f>
        <v>0</v>
      </c>
      <c r="BL129" s="6" t="s">
        <v>168</v>
      </c>
    </row>
    <row r="130" spans="2:51" s="6" customFormat="1" ht="27" customHeight="1">
      <c r="B130" s="130"/>
      <c r="E130" s="131"/>
      <c r="F130" s="209" t="s">
        <v>385</v>
      </c>
      <c r="G130" s="210"/>
      <c r="H130" s="210"/>
      <c r="I130" s="210"/>
      <c r="K130" s="132">
        <v>30.112</v>
      </c>
      <c r="R130" s="133"/>
      <c r="T130" s="134"/>
      <c r="AA130" s="135"/>
      <c r="AT130" s="131" t="s">
        <v>173</v>
      </c>
      <c r="AU130" s="131" t="s">
        <v>141</v>
      </c>
      <c r="AV130" s="131" t="s">
        <v>141</v>
      </c>
      <c r="AW130" s="131" t="s">
        <v>125</v>
      </c>
      <c r="AX130" s="131" t="s">
        <v>17</v>
      </c>
      <c r="AY130" s="131" t="s">
        <v>163</v>
      </c>
    </row>
    <row r="131" spans="2:64" s="6" customFormat="1" ht="27" customHeight="1">
      <c r="B131" s="21"/>
      <c r="C131" s="123" t="s">
        <v>174</v>
      </c>
      <c r="D131" s="123" t="s">
        <v>164</v>
      </c>
      <c r="E131" s="124" t="s">
        <v>175</v>
      </c>
      <c r="F131" s="205" t="s">
        <v>176</v>
      </c>
      <c r="G131" s="206"/>
      <c r="H131" s="206"/>
      <c r="I131" s="206"/>
      <c r="J131" s="125" t="s">
        <v>177</v>
      </c>
      <c r="K131" s="126">
        <v>25.2</v>
      </c>
      <c r="L131" s="207">
        <v>0</v>
      </c>
      <c r="M131" s="206"/>
      <c r="N131" s="208">
        <f>ROUND($L$131*$K$131,2)</f>
        <v>0</v>
      </c>
      <c r="O131" s="206"/>
      <c r="P131" s="206"/>
      <c r="Q131" s="206"/>
      <c r="R131" s="22"/>
      <c r="T131" s="127"/>
      <c r="U131" s="28" t="s">
        <v>42</v>
      </c>
      <c r="V131" s="128">
        <v>0.12</v>
      </c>
      <c r="W131" s="128">
        <f>$V$131*$K$131</f>
        <v>3.024</v>
      </c>
      <c r="X131" s="128">
        <v>8E-05</v>
      </c>
      <c r="Y131" s="128">
        <f>$X$131*$K$131</f>
        <v>0.002016</v>
      </c>
      <c r="Z131" s="128">
        <v>0</v>
      </c>
      <c r="AA131" s="129">
        <f>$Z$131*$K$131</f>
        <v>0</v>
      </c>
      <c r="AR131" s="6" t="s">
        <v>168</v>
      </c>
      <c r="AT131" s="6" t="s">
        <v>164</v>
      </c>
      <c r="AU131" s="6" t="s">
        <v>141</v>
      </c>
      <c r="AY131" s="6" t="s">
        <v>163</v>
      </c>
      <c r="BE131" s="82">
        <f>IF($U$131="základní",$N$131,0)</f>
        <v>0</v>
      </c>
      <c r="BF131" s="82">
        <f>IF($U$131="snížená",$N$131,0)</f>
        <v>0</v>
      </c>
      <c r="BG131" s="82">
        <f>IF($U$131="zákl. přenesená",$N$131,0)</f>
        <v>0</v>
      </c>
      <c r="BH131" s="82">
        <f>IF($U$131="sníž. přenesená",$N$131,0)</f>
        <v>0</v>
      </c>
      <c r="BI131" s="82">
        <f>IF($U$131="nulová",$N$131,0)</f>
        <v>0</v>
      </c>
      <c r="BJ131" s="6" t="s">
        <v>141</v>
      </c>
      <c r="BK131" s="82">
        <f>ROUND($L$131*$K$131,2)</f>
        <v>0</v>
      </c>
      <c r="BL131" s="6" t="s">
        <v>168</v>
      </c>
    </row>
    <row r="132" spans="2:51" s="6" customFormat="1" ht="15.75" customHeight="1">
      <c r="B132" s="130"/>
      <c r="E132" s="131"/>
      <c r="F132" s="209" t="s">
        <v>386</v>
      </c>
      <c r="G132" s="210"/>
      <c r="H132" s="210"/>
      <c r="I132" s="210"/>
      <c r="K132" s="132">
        <v>25.2</v>
      </c>
      <c r="R132" s="133"/>
      <c r="T132" s="134"/>
      <c r="AA132" s="135"/>
      <c r="AT132" s="131" t="s">
        <v>173</v>
      </c>
      <c r="AU132" s="131" t="s">
        <v>141</v>
      </c>
      <c r="AV132" s="131" t="s">
        <v>141</v>
      </c>
      <c r="AW132" s="131" t="s">
        <v>125</v>
      </c>
      <c r="AX132" s="131" t="s">
        <v>17</v>
      </c>
      <c r="AY132" s="131" t="s">
        <v>163</v>
      </c>
    </row>
    <row r="133" spans="2:63" s="113" customFormat="1" ht="30.75" customHeight="1">
      <c r="B133" s="114"/>
      <c r="D133" s="122" t="s">
        <v>128</v>
      </c>
      <c r="N133" s="223">
        <f>$BK$133</f>
        <v>0</v>
      </c>
      <c r="O133" s="222"/>
      <c r="P133" s="222"/>
      <c r="Q133" s="222"/>
      <c r="R133" s="117"/>
      <c r="T133" s="118"/>
      <c r="W133" s="119">
        <f>SUM($W$134:$W$140)</f>
        <v>41.43864000000001</v>
      </c>
      <c r="Y133" s="119">
        <f>SUM($Y$134:$Y$140)</f>
        <v>1.3735647200000003</v>
      </c>
      <c r="AA133" s="120">
        <f>SUM($AA$134:$AA$140)</f>
        <v>0</v>
      </c>
      <c r="AR133" s="116" t="s">
        <v>17</v>
      </c>
      <c r="AT133" s="116" t="s">
        <v>74</v>
      </c>
      <c r="AU133" s="116" t="s">
        <v>17</v>
      </c>
      <c r="AY133" s="116" t="s">
        <v>163</v>
      </c>
      <c r="BK133" s="121">
        <f>SUM($BK$134:$BK$140)</f>
        <v>0</v>
      </c>
    </row>
    <row r="134" spans="2:64" s="6" customFormat="1" ht="27" customHeight="1">
      <c r="B134" s="21"/>
      <c r="C134" s="123" t="s">
        <v>168</v>
      </c>
      <c r="D134" s="123" t="s">
        <v>164</v>
      </c>
      <c r="E134" s="124" t="s">
        <v>179</v>
      </c>
      <c r="F134" s="205" t="s">
        <v>180</v>
      </c>
      <c r="G134" s="206"/>
      <c r="H134" s="206"/>
      <c r="I134" s="206"/>
      <c r="J134" s="125" t="s">
        <v>171</v>
      </c>
      <c r="K134" s="126">
        <v>59.384</v>
      </c>
      <c r="L134" s="207">
        <v>0</v>
      </c>
      <c r="M134" s="206"/>
      <c r="N134" s="208">
        <f>ROUND($L$134*$K$134,2)</f>
        <v>0</v>
      </c>
      <c r="O134" s="206"/>
      <c r="P134" s="206"/>
      <c r="Q134" s="206"/>
      <c r="R134" s="22"/>
      <c r="T134" s="127"/>
      <c r="U134" s="28" t="s">
        <v>42</v>
      </c>
      <c r="V134" s="128">
        <v>0.46</v>
      </c>
      <c r="W134" s="128">
        <f>$V$134*$K$134</f>
        <v>27.31664</v>
      </c>
      <c r="X134" s="128">
        <v>0.01733</v>
      </c>
      <c r="Y134" s="128">
        <f>$X$134*$K$134</f>
        <v>1.0291247200000002</v>
      </c>
      <c r="Z134" s="128">
        <v>0</v>
      </c>
      <c r="AA134" s="129">
        <f>$Z$134*$K$134</f>
        <v>0</v>
      </c>
      <c r="AR134" s="6" t="s">
        <v>168</v>
      </c>
      <c r="AT134" s="6" t="s">
        <v>164</v>
      </c>
      <c r="AU134" s="6" t="s">
        <v>141</v>
      </c>
      <c r="AY134" s="6" t="s">
        <v>163</v>
      </c>
      <c r="BE134" s="82">
        <f>IF($U$134="základní",$N$134,0)</f>
        <v>0</v>
      </c>
      <c r="BF134" s="82">
        <f>IF($U$134="snížená",$N$134,0)</f>
        <v>0</v>
      </c>
      <c r="BG134" s="82">
        <f>IF($U$134="zákl. přenesená",$N$134,0)</f>
        <v>0</v>
      </c>
      <c r="BH134" s="82">
        <f>IF($U$134="sníž. přenesená",$N$134,0)</f>
        <v>0</v>
      </c>
      <c r="BI134" s="82">
        <f>IF($U$134="nulová",$N$134,0)</f>
        <v>0</v>
      </c>
      <c r="BJ134" s="6" t="s">
        <v>141</v>
      </c>
      <c r="BK134" s="82">
        <f>ROUND($L$134*$K$134,2)</f>
        <v>0</v>
      </c>
      <c r="BL134" s="6" t="s">
        <v>168</v>
      </c>
    </row>
    <row r="135" spans="2:51" s="6" customFormat="1" ht="27" customHeight="1">
      <c r="B135" s="130"/>
      <c r="E135" s="131"/>
      <c r="F135" s="209" t="s">
        <v>387</v>
      </c>
      <c r="G135" s="210"/>
      <c r="H135" s="210"/>
      <c r="I135" s="210"/>
      <c r="K135" s="132">
        <v>59.384</v>
      </c>
      <c r="R135" s="133"/>
      <c r="T135" s="134"/>
      <c r="AA135" s="135"/>
      <c r="AT135" s="131" t="s">
        <v>173</v>
      </c>
      <c r="AU135" s="131" t="s">
        <v>141</v>
      </c>
      <c r="AV135" s="131" t="s">
        <v>141</v>
      </c>
      <c r="AW135" s="131" t="s">
        <v>125</v>
      </c>
      <c r="AX135" s="131" t="s">
        <v>17</v>
      </c>
      <c r="AY135" s="131" t="s">
        <v>163</v>
      </c>
    </row>
    <row r="136" spans="2:64" s="6" customFormat="1" ht="15.75" customHeight="1">
      <c r="B136" s="21"/>
      <c r="C136" s="123" t="s">
        <v>182</v>
      </c>
      <c r="D136" s="123" t="s">
        <v>164</v>
      </c>
      <c r="E136" s="124" t="s">
        <v>187</v>
      </c>
      <c r="F136" s="205" t="s">
        <v>188</v>
      </c>
      <c r="G136" s="206"/>
      <c r="H136" s="206"/>
      <c r="I136" s="206"/>
      <c r="J136" s="125" t="s">
        <v>167</v>
      </c>
      <c r="K136" s="126">
        <v>6</v>
      </c>
      <c r="L136" s="207">
        <v>0</v>
      </c>
      <c r="M136" s="206"/>
      <c r="N136" s="208">
        <f>ROUND($L$136*$K$136,2)</f>
        <v>0</v>
      </c>
      <c r="O136" s="206"/>
      <c r="P136" s="206"/>
      <c r="Q136" s="206"/>
      <c r="R136" s="22"/>
      <c r="T136" s="127"/>
      <c r="U136" s="28" t="s">
        <v>42</v>
      </c>
      <c r="V136" s="128">
        <v>1.607</v>
      </c>
      <c r="W136" s="128">
        <f>$V$136*$K$136</f>
        <v>9.642</v>
      </c>
      <c r="X136" s="128">
        <v>0.04634</v>
      </c>
      <c r="Y136" s="128">
        <f>$X$136*$K$136</f>
        <v>0.27804</v>
      </c>
      <c r="Z136" s="128">
        <v>0</v>
      </c>
      <c r="AA136" s="129">
        <f>$Z$136*$K$136</f>
        <v>0</v>
      </c>
      <c r="AR136" s="6" t="s">
        <v>168</v>
      </c>
      <c r="AT136" s="6" t="s">
        <v>164</v>
      </c>
      <c r="AU136" s="6" t="s">
        <v>141</v>
      </c>
      <c r="AY136" s="6" t="s">
        <v>163</v>
      </c>
      <c r="BE136" s="82">
        <f>IF($U$136="základní",$N$136,0)</f>
        <v>0</v>
      </c>
      <c r="BF136" s="82">
        <f>IF($U$136="snížená",$N$136,0)</f>
        <v>0</v>
      </c>
      <c r="BG136" s="82">
        <f>IF($U$136="zákl. přenesená",$N$136,0)</f>
        <v>0</v>
      </c>
      <c r="BH136" s="82">
        <f>IF($U$136="sníž. přenesená",$N$136,0)</f>
        <v>0</v>
      </c>
      <c r="BI136" s="82">
        <f>IF($U$136="nulová",$N$136,0)</f>
        <v>0</v>
      </c>
      <c r="BJ136" s="6" t="s">
        <v>141</v>
      </c>
      <c r="BK136" s="82">
        <f>ROUND($L$136*$K$136,2)</f>
        <v>0</v>
      </c>
      <c r="BL136" s="6" t="s">
        <v>168</v>
      </c>
    </row>
    <row r="137" spans="2:51" s="6" customFormat="1" ht="15.75" customHeight="1">
      <c r="B137" s="130"/>
      <c r="E137" s="131"/>
      <c r="F137" s="209" t="s">
        <v>186</v>
      </c>
      <c r="G137" s="210"/>
      <c r="H137" s="210"/>
      <c r="I137" s="210"/>
      <c r="K137" s="132">
        <v>6</v>
      </c>
      <c r="R137" s="133"/>
      <c r="T137" s="134"/>
      <c r="AA137" s="135"/>
      <c r="AT137" s="131" t="s">
        <v>173</v>
      </c>
      <c r="AU137" s="131" t="s">
        <v>141</v>
      </c>
      <c r="AV137" s="131" t="s">
        <v>141</v>
      </c>
      <c r="AW137" s="131" t="s">
        <v>125</v>
      </c>
      <c r="AX137" s="131" t="s">
        <v>17</v>
      </c>
      <c r="AY137" s="131" t="s">
        <v>163</v>
      </c>
    </row>
    <row r="138" spans="2:64" s="6" customFormat="1" ht="15.75" customHeight="1">
      <c r="B138" s="21"/>
      <c r="C138" s="136" t="s">
        <v>186</v>
      </c>
      <c r="D138" s="136" t="s">
        <v>190</v>
      </c>
      <c r="E138" s="137" t="s">
        <v>191</v>
      </c>
      <c r="F138" s="211" t="s">
        <v>192</v>
      </c>
      <c r="G138" s="212"/>
      <c r="H138" s="212"/>
      <c r="I138" s="212"/>
      <c r="J138" s="138" t="s">
        <v>167</v>
      </c>
      <c r="K138" s="139">
        <v>5</v>
      </c>
      <c r="L138" s="213">
        <v>0</v>
      </c>
      <c r="M138" s="212"/>
      <c r="N138" s="214">
        <f>ROUND($L$138*$K$138,2)</f>
        <v>0</v>
      </c>
      <c r="O138" s="206"/>
      <c r="P138" s="206"/>
      <c r="Q138" s="206"/>
      <c r="R138" s="22"/>
      <c r="T138" s="127"/>
      <c r="U138" s="28" t="s">
        <v>42</v>
      </c>
      <c r="V138" s="128">
        <v>0</v>
      </c>
      <c r="W138" s="128">
        <f>$V$138*$K$138</f>
        <v>0</v>
      </c>
      <c r="X138" s="128">
        <v>0.011</v>
      </c>
      <c r="Y138" s="128">
        <f>$X$138*$K$138</f>
        <v>0.05499999999999999</v>
      </c>
      <c r="Z138" s="128">
        <v>0</v>
      </c>
      <c r="AA138" s="129">
        <f>$Z$138*$K$138</f>
        <v>0</v>
      </c>
      <c r="AR138" s="6" t="s">
        <v>193</v>
      </c>
      <c r="AT138" s="6" t="s">
        <v>190</v>
      </c>
      <c r="AU138" s="6" t="s">
        <v>141</v>
      </c>
      <c r="AY138" s="6" t="s">
        <v>163</v>
      </c>
      <c r="BE138" s="82">
        <f>IF($U$138="základní",$N$138,0)</f>
        <v>0</v>
      </c>
      <c r="BF138" s="82">
        <f>IF($U$138="snížená",$N$138,0)</f>
        <v>0</v>
      </c>
      <c r="BG138" s="82">
        <f>IF($U$138="zákl. přenesená",$N$138,0)</f>
        <v>0</v>
      </c>
      <c r="BH138" s="82">
        <f>IF($U$138="sníž. přenesená",$N$138,0)</f>
        <v>0</v>
      </c>
      <c r="BI138" s="82">
        <f>IF($U$138="nulová",$N$138,0)</f>
        <v>0</v>
      </c>
      <c r="BJ138" s="6" t="s">
        <v>141</v>
      </c>
      <c r="BK138" s="82">
        <f>ROUND($L$138*$K$138,2)</f>
        <v>0</v>
      </c>
      <c r="BL138" s="6" t="s">
        <v>168</v>
      </c>
    </row>
    <row r="139" spans="2:64" s="6" customFormat="1" ht="15.75" customHeight="1">
      <c r="B139" s="21"/>
      <c r="C139" s="136" t="s">
        <v>189</v>
      </c>
      <c r="D139" s="136" t="s">
        <v>190</v>
      </c>
      <c r="E139" s="137" t="s">
        <v>194</v>
      </c>
      <c r="F139" s="211" t="s">
        <v>195</v>
      </c>
      <c r="G139" s="212"/>
      <c r="H139" s="212"/>
      <c r="I139" s="212"/>
      <c r="J139" s="138" t="s">
        <v>167</v>
      </c>
      <c r="K139" s="139">
        <v>1</v>
      </c>
      <c r="L139" s="213">
        <v>0</v>
      </c>
      <c r="M139" s="212"/>
      <c r="N139" s="214">
        <f>ROUND($L$139*$K$139,2)</f>
        <v>0</v>
      </c>
      <c r="O139" s="206"/>
      <c r="P139" s="206"/>
      <c r="Q139" s="206"/>
      <c r="R139" s="22"/>
      <c r="T139" s="127"/>
      <c r="U139" s="28" t="s">
        <v>42</v>
      </c>
      <c r="V139" s="128">
        <v>0</v>
      </c>
      <c r="W139" s="128">
        <f>$V$139*$K$139</f>
        <v>0</v>
      </c>
      <c r="X139" s="128">
        <v>0.0114</v>
      </c>
      <c r="Y139" s="128">
        <f>$X$139*$K$139</f>
        <v>0.0114</v>
      </c>
      <c r="Z139" s="128">
        <v>0</v>
      </c>
      <c r="AA139" s="129">
        <f>$Z$139*$K$139</f>
        <v>0</v>
      </c>
      <c r="AR139" s="6" t="s">
        <v>193</v>
      </c>
      <c r="AT139" s="6" t="s">
        <v>190</v>
      </c>
      <c r="AU139" s="6" t="s">
        <v>141</v>
      </c>
      <c r="AY139" s="6" t="s">
        <v>163</v>
      </c>
      <c r="BE139" s="82">
        <f>IF($U$139="základní",$N$139,0)</f>
        <v>0</v>
      </c>
      <c r="BF139" s="82">
        <f>IF($U$139="snížená",$N$139,0)</f>
        <v>0</v>
      </c>
      <c r="BG139" s="82">
        <f>IF($U$139="zákl. přenesená",$N$139,0)</f>
        <v>0</v>
      </c>
      <c r="BH139" s="82">
        <f>IF($U$139="sníž. přenesená",$N$139,0)</f>
        <v>0</v>
      </c>
      <c r="BI139" s="82">
        <f>IF($U$139="nulová",$N$139,0)</f>
        <v>0</v>
      </c>
      <c r="BJ139" s="6" t="s">
        <v>141</v>
      </c>
      <c r="BK139" s="82">
        <f>ROUND($L$139*$K$139,2)</f>
        <v>0</v>
      </c>
      <c r="BL139" s="6" t="s">
        <v>168</v>
      </c>
    </row>
    <row r="140" spans="2:64" s="6" customFormat="1" ht="27" customHeight="1">
      <c r="B140" s="21"/>
      <c r="C140" s="123" t="s">
        <v>193</v>
      </c>
      <c r="D140" s="123" t="s">
        <v>164</v>
      </c>
      <c r="E140" s="124" t="s">
        <v>197</v>
      </c>
      <c r="F140" s="205" t="s">
        <v>348</v>
      </c>
      <c r="G140" s="206"/>
      <c r="H140" s="206"/>
      <c r="I140" s="206"/>
      <c r="J140" s="125" t="s">
        <v>167</v>
      </c>
      <c r="K140" s="126">
        <v>28</v>
      </c>
      <c r="L140" s="207">
        <v>0</v>
      </c>
      <c r="M140" s="206"/>
      <c r="N140" s="208">
        <f>ROUND($L$140*$K$140,2)</f>
        <v>0</v>
      </c>
      <c r="O140" s="206"/>
      <c r="P140" s="206"/>
      <c r="Q140" s="206"/>
      <c r="R140" s="22"/>
      <c r="T140" s="127"/>
      <c r="U140" s="28" t="s">
        <v>42</v>
      </c>
      <c r="V140" s="128">
        <v>0.16</v>
      </c>
      <c r="W140" s="128">
        <f>$V$140*$K$140</f>
        <v>4.48</v>
      </c>
      <c r="X140" s="128">
        <v>0</v>
      </c>
      <c r="Y140" s="128">
        <f>$X$140*$K$140</f>
        <v>0</v>
      </c>
      <c r="Z140" s="128">
        <v>0</v>
      </c>
      <c r="AA140" s="129">
        <f>$Z$140*$K$140</f>
        <v>0</v>
      </c>
      <c r="AR140" s="6" t="s">
        <v>168</v>
      </c>
      <c r="AT140" s="6" t="s">
        <v>164</v>
      </c>
      <c r="AU140" s="6" t="s">
        <v>141</v>
      </c>
      <c r="AY140" s="6" t="s">
        <v>163</v>
      </c>
      <c r="BE140" s="82">
        <f>IF($U$140="základní",$N$140,0)</f>
        <v>0</v>
      </c>
      <c r="BF140" s="82">
        <f>IF($U$140="snížená",$N$140,0)</f>
        <v>0</v>
      </c>
      <c r="BG140" s="82">
        <f>IF($U$140="zákl. přenesená",$N$140,0)</f>
        <v>0</v>
      </c>
      <c r="BH140" s="82">
        <f>IF($U$140="sníž. přenesená",$N$140,0)</f>
        <v>0</v>
      </c>
      <c r="BI140" s="82">
        <f>IF($U$140="nulová",$N$140,0)</f>
        <v>0</v>
      </c>
      <c r="BJ140" s="6" t="s">
        <v>141</v>
      </c>
      <c r="BK140" s="82">
        <f>ROUND($L$140*$K$140,2)</f>
        <v>0</v>
      </c>
      <c r="BL140" s="6" t="s">
        <v>168</v>
      </c>
    </row>
    <row r="141" spans="2:63" s="113" customFormat="1" ht="30.75" customHeight="1">
      <c r="B141" s="114"/>
      <c r="D141" s="122" t="s">
        <v>129</v>
      </c>
      <c r="N141" s="223">
        <f>$BK$141</f>
        <v>0</v>
      </c>
      <c r="O141" s="222"/>
      <c r="P141" s="222"/>
      <c r="Q141" s="222"/>
      <c r="R141" s="117"/>
      <c r="T141" s="118"/>
      <c r="W141" s="119">
        <f>SUM($W$142:$W$146)</f>
        <v>42.995568</v>
      </c>
      <c r="Y141" s="119">
        <f>SUM($Y$142:$Y$146)</f>
        <v>0.0055838400000000005</v>
      </c>
      <c r="AA141" s="120">
        <f>SUM($AA$142:$AA$146)</f>
        <v>0</v>
      </c>
      <c r="AR141" s="116" t="s">
        <v>17</v>
      </c>
      <c r="AT141" s="116" t="s">
        <v>74</v>
      </c>
      <c r="AU141" s="116" t="s">
        <v>17</v>
      </c>
      <c r="AY141" s="116" t="s">
        <v>163</v>
      </c>
      <c r="BK141" s="121">
        <f>SUM($BK$142:$BK$146)</f>
        <v>0</v>
      </c>
    </row>
    <row r="142" spans="2:64" s="6" customFormat="1" ht="27" customHeight="1">
      <c r="B142" s="21"/>
      <c r="C142" s="123" t="s">
        <v>196</v>
      </c>
      <c r="D142" s="123" t="s">
        <v>164</v>
      </c>
      <c r="E142" s="124" t="s">
        <v>199</v>
      </c>
      <c r="F142" s="205" t="s">
        <v>200</v>
      </c>
      <c r="G142" s="206"/>
      <c r="H142" s="206"/>
      <c r="I142" s="206"/>
      <c r="J142" s="125" t="s">
        <v>171</v>
      </c>
      <c r="K142" s="126">
        <v>139.596</v>
      </c>
      <c r="L142" s="207">
        <v>0</v>
      </c>
      <c r="M142" s="206"/>
      <c r="N142" s="208">
        <f>ROUND($L$142*$K$142,2)</f>
        <v>0</v>
      </c>
      <c r="O142" s="206"/>
      <c r="P142" s="206"/>
      <c r="Q142" s="206"/>
      <c r="R142" s="22"/>
      <c r="T142" s="127"/>
      <c r="U142" s="28" t="s">
        <v>42</v>
      </c>
      <c r="V142" s="128">
        <v>0.308</v>
      </c>
      <c r="W142" s="128">
        <f>$V$142*$K$142</f>
        <v>42.995568</v>
      </c>
      <c r="X142" s="128">
        <v>4E-05</v>
      </c>
      <c r="Y142" s="128">
        <f>$X$142*$K$142</f>
        <v>0.0055838400000000005</v>
      </c>
      <c r="Z142" s="128">
        <v>0</v>
      </c>
      <c r="AA142" s="129">
        <f>$Z$142*$K$142</f>
        <v>0</v>
      </c>
      <c r="AR142" s="6" t="s">
        <v>168</v>
      </c>
      <c r="AT142" s="6" t="s">
        <v>164</v>
      </c>
      <c r="AU142" s="6" t="s">
        <v>141</v>
      </c>
      <c r="AY142" s="6" t="s">
        <v>163</v>
      </c>
      <c r="BE142" s="82">
        <f>IF($U$142="základní",$N$142,0)</f>
        <v>0</v>
      </c>
      <c r="BF142" s="82">
        <f>IF($U$142="snížená",$N$142,0)</f>
        <v>0</v>
      </c>
      <c r="BG142" s="82">
        <f>IF($U$142="zákl. přenesená",$N$142,0)</f>
        <v>0</v>
      </c>
      <c r="BH142" s="82">
        <f>IF($U$142="sníž. přenesená",$N$142,0)</f>
        <v>0</v>
      </c>
      <c r="BI142" s="82">
        <f>IF($U$142="nulová",$N$142,0)</f>
        <v>0</v>
      </c>
      <c r="BJ142" s="6" t="s">
        <v>141</v>
      </c>
      <c r="BK142" s="82">
        <f>ROUND($L$142*$K$142,2)</f>
        <v>0</v>
      </c>
      <c r="BL142" s="6" t="s">
        <v>168</v>
      </c>
    </row>
    <row r="143" spans="2:51" s="6" customFormat="1" ht="27" customHeight="1">
      <c r="B143" s="130"/>
      <c r="E143" s="131"/>
      <c r="F143" s="209" t="s">
        <v>388</v>
      </c>
      <c r="G143" s="210"/>
      <c r="H143" s="210"/>
      <c r="I143" s="210"/>
      <c r="K143" s="132">
        <v>29.46</v>
      </c>
      <c r="R143" s="133"/>
      <c r="T143" s="134"/>
      <c r="AA143" s="135"/>
      <c r="AT143" s="131" t="s">
        <v>173</v>
      </c>
      <c r="AU143" s="131" t="s">
        <v>141</v>
      </c>
      <c r="AV143" s="131" t="s">
        <v>141</v>
      </c>
      <c r="AW143" s="131" t="s">
        <v>125</v>
      </c>
      <c r="AX143" s="131" t="s">
        <v>75</v>
      </c>
      <c r="AY143" s="131" t="s">
        <v>163</v>
      </c>
    </row>
    <row r="144" spans="2:51" s="6" customFormat="1" ht="27" customHeight="1">
      <c r="B144" s="130"/>
      <c r="E144" s="131"/>
      <c r="F144" s="209" t="s">
        <v>389</v>
      </c>
      <c r="G144" s="210"/>
      <c r="H144" s="210"/>
      <c r="I144" s="210"/>
      <c r="K144" s="132">
        <v>64.6</v>
      </c>
      <c r="R144" s="133"/>
      <c r="T144" s="134"/>
      <c r="AA144" s="135"/>
      <c r="AT144" s="131" t="s">
        <v>173</v>
      </c>
      <c r="AU144" s="131" t="s">
        <v>141</v>
      </c>
      <c r="AV144" s="131" t="s">
        <v>141</v>
      </c>
      <c r="AW144" s="131" t="s">
        <v>125</v>
      </c>
      <c r="AX144" s="131" t="s">
        <v>75</v>
      </c>
      <c r="AY144" s="131" t="s">
        <v>163</v>
      </c>
    </row>
    <row r="145" spans="2:51" s="6" customFormat="1" ht="27" customHeight="1">
      <c r="B145" s="130"/>
      <c r="E145" s="131"/>
      <c r="F145" s="209" t="s">
        <v>390</v>
      </c>
      <c r="G145" s="210"/>
      <c r="H145" s="210"/>
      <c r="I145" s="210"/>
      <c r="K145" s="132">
        <v>45.536</v>
      </c>
      <c r="R145" s="133"/>
      <c r="T145" s="134"/>
      <c r="AA145" s="135"/>
      <c r="AT145" s="131" t="s">
        <v>173</v>
      </c>
      <c r="AU145" s="131" t="s">
        <v>141</v>
      </c>
      <c r="AV145" s="131" t="s">
        <v>141</v>
      </c>
      <c r="AW145" s="131" t="s">
        <v>125</v>
      </c>
      <c r="AX145" s="131" t="s">
        <v>75</v>
      </c>
      <c r="AY145" s="131" t="s">
        <v>163</v>
      </c>
    </row>
    <row r="146" spans="2:51" s="6" customFormat="1" ht="15.75" customHeight="1">
      <c r="B146" s="141"/>
      <c r="E146" s="142"/>
      <c r="F146" s="215" t="s">
        <v>286</v>
      </c>
      <c r="G146" s="216"/>
      <c r="H146" s="216"/>
      <c r="I146" s="216"/>
      <c r="K146" s="143">
        <v>139.596</v>
      </c>
      <c r="R146" s="144"/>
      <c r="T146" s="145"/>
      <c r="AA146" s="146"/>
      <c r="AT146" s="142" t="s">
        <v>173</v>
      </c>
      <c r="AU146" s="142" t="s">
        <v>141</v>
      </c>
      <c r="AV146" s="142" t="s">
        <v>168</v>
      </c>
      <c r="AW146" s="142" t="s">
        <v>125</v>
      </c>
      <c r="AX146" s="142" t="s">
        <v>17</v>
      </c>
      <c r="AY146" s="142" t="s">
        <v>163</v>
      </c>
    </row>
    <row r="147" spans="2:63" s="113" customFormat="1" ht="30.75" customHeight="1">
      <c r="B147" s="114"/>
      <c r="D147" s="122" t="s">
        <v>384</v>
      </c>
      <c r="N147" s="223">
        <f>$BK$147</f>
        <v>0</v>
      </c>
      <c r="O147" s="222"/>
      <c r="P147" s="222"/>
      <c r="Q147" s="222"/>
      <c r="R147" s="117"/>
      <c r="T147" s="118"/>
      <c r="W147" s="119">
        <f>SUM($W$148:$W$153)</f>
        <v>1.463679</v>
      </c>
      <c r="Y147" s="119">
        <f>SUM($Y$148:$Y$153)</f>
        <v>0</v>
      </c>
      <c r="AA147" s="120">
        <f>SUM($AA$148:$AA$153)</f>
        <v>0</v>
      </c>
      <c r="AR147" s="116" t="s">
        <v>17</v>
      </c>
      <c r="AT147" s="116" t="s">
        <v>74</v>
      </c>
      <c r="AU147" s="116" t="s">
        <v>17</v>
      </c>
      <c r="AY147" s="116" t="s">
        <v>163</v>
      </c>
      <c r="BK147" s="121">
        <f>SUM($BK$148:$BK$153)</f>
        <v>0</v>
      </c>
    </row>
    <row r="148" spans="2:64" s="6" customFormat="1" ht="15.75" customHeight="1">
      <c r="B148" s="21"/>
      <c r="C148" s="123" t="s">
        <v>22</v>
      </c>
      <c r="D148" s="123" t="s">
        <v>164</v>
      </c>
      <c r="E148" s="124" t="s">
        <v>214</v>
      </c>
      <c r="F148" s="205" t="s">
        <v>215</v>
      </c>
      <c r="G148" s="206"/>
      <c r="H148" s="206"/>
      <c r="I148" s="206"/>
      <c r="J148" s="125" t="s">
        <v>216</v>
      </c>
      <c r="K148" s="126">
        <v>0.767</v>
      </c>
      <c r="L148" s="207">
        <v>0</v>
      </c>
      <c r="M148" s="206"/>
      <c r="N148" s="208">
        <f>ROUND($L$148*$K$148,2)</f>
        <v>0</v>
      </c>
      <c r="O148" s="206"/>
      <c r="P148" s="206"/>
      <c r="Q148" s="206"/>
      <c r="R148" s="22"/>
      <c r="T148" s="127"/>
      <c r="U148" s="28" t="s">
        <v>42</v>
      </c>
      <c r="V148" s="128">
        <v>0.136</v>
      </c>
      <c r="W148" s="128">
        <f>$V$148*$K$148</f>
        <v>0.10431200000000002</v>
      </c>
      <c r="X148" s="128">
        <v>0</v>
      </c>
      <c r="Y148" s="128">
        <f>$X$148*$K$148</f>
        <v>0</v>
      </c>
      <c r="Z148" s="128">
        <v>0</v>
      </c>
      <c r="AA148" s="129">
        <f>$Z$148*$K$148</f>
        <v>0</v>
      </c>
      <c r="AR148" s="6" t="s">
        <v>168</v>
      </c>
      <c r="AT148" s="6" t="s">
        <v>164</v>
      </c>
      <c r="AU148" s="6" t="s">
        <v>141</v>
      </c>
      <c r="AY148" s="6" t="s">
        <v>163</v>
      </c>
      <c r="BE148" s="82">
        <f>IF($U$148="základní",$N$148,0)</f>
        <v>0</v>
      </c>
      <c r="BF148" s="82">
        <f>IF($U$148="snížená",$N$148,0)</f>
        <v>0</v>
      </c>
      <c r="BG148" s="82">
        <f>IF($U$148="zákl. přenesená",$N$148,0)</f>
        <v>0</v>
      </c>
      <c r="BH148" s="82">
        <f>IF($U$148="sníž. přenesená",$N$148,0)</f>
        <v>0</v>
      </c>
      <c r="BI148" s="82">
        <f>IF($U$148="nulová",$N$148,0)</f>
        <v>0</v>
      </c>
      <c r="BJ148" s="6" t="s">
        <v>141</v>
      </c>
      <c r="BK148" s="82">
        <f>ROUND($L$148*$K$148,2)</f>
        <v>0</v>
      </c>
      <c r="BL148" s="6" t="s">
        <v>168</v>
      </c>
    </row>
    <row r="149" spans="2:64" s="6" customFormat="1" ht="27" customHeight="1">
      <c r="B149" s="21"/>
      <c r="C149" s="123" t="s">
        <v>201</v>
      </c>
      <c r="D149" s="123" t="s">
        <v>164</v>
      </c>
      <c r="E149" s="124" t="s">
        <v>217</v>
      </c>
      <c r="F149" s="205" t="s">
        <v>218</v>
      </c>
      <c r="G149" s="206"/>
      <c r="H149" s="206"/>
      <c r="I149" s="206"/>
      <c r="J149" s="125" t="s">
        <v>216</v>
      </c>
      <c r="K149" s="126">
        <v>0.767</v>
      </c>
      <c r="L149" s="207">
        <v>0</v>
      </c>
      <c r="M149" s="206"/>
      <c r="N149" s="208">
        <f>ROUND($L$149*$K$149,2)</f>
        <v>0</v>
      </c>
      <c r="O149" s="206"/>
      <c r="P149" s="206"/>
      <c r="Q149" s="206"/>
      <c r="R149" s="22"/>
      <c r="T149" s="127"/>
      <c r="U149" s="28" t="s">
        <v>42</v>
      </c>
      <c r="V149" s="128">
        <v>0.125</v>
      </c>
      <c r="W149" s="128">
        <f>$V$149*$K$149</f>
        <v>0.095875</v>
      </c>
      <c r="X149" s="128">
        <v>0</v>
      </c>
      <c r="Y149" s="128">
        <f>$X$149*$K$149</f>
        <v>0</v>
      </c>
      <c r="Z149" s="128">
        <v>0</v>
      </c>
      <c r="AA149" s="129">
        <f>$Z$149*$K$149</f>
        <v>0</v>
      </c>
      <c r="AR149" s="6" t="s">
        <v>168</v>
      </c>
      <c r="AT149" s="6" t="s">
        <v>164</v>
      </c>
      <c r="AU149" s="6" t="s">
        <v>141</v>
      </c>
      <c r="AY149" s="6" t="s">
        <v>163</v>
      </c>
      <c r="BE149" s="82">
        <f>IF($U$149="základní",$N$149,0)</f>
        <v>0</v>
      </c>
      <c r="BF149" s="82">
        <f>IF($U$149="snížená",$N$149,0)</f>
        <v>0</v>
      </c>
      <c r="BG149" s="82">
        <f>IF($U$149="zákl. přenesená",$N$149,0)</f>
        <v>0</v>
      </c>
      <c r="BH149" s="82">
        <f>IF($U$149="sníž. přenesená",$N$149,0)</f>
        <v>0</v>
      </c>
      <c r="BI149" s="82">
        <f>IF($U$149="nulová",$N$149,0)</f>
        <v>0</v>
      </c>
      <c r="BJ149" s="6" t="s">
        <v>141</v>
      </c>
      <c r="BK149" s="82">
        <f>ROUND($L$149*$K$149,2)</f>
        <v>0</v>
      </c>
      <c r="BL149" s="6" t="s">
        <v>168</v>
      </c>
    </row>
    <row r="150" spans="2:64" s="6" customFormat="1" ht="27" customHeight="1">
      <c r="B150" s="21"/>
      <c r="C150" s="123" t="s">
        <v>205</v>
      </c>
      <c r="D150" s="123" t="s">
        <v>164</v>
      </c>
      <c r="E150" s="124" t="s">
        <v>220</v>
      </c>
      <c r="F150" s="205" t="s">
        <v>221</v>
      </c>
      <c r="G150" s="206"/>
      <c r="H150" s="206"/>
      <c r="I150" s="206"/>
      <c r="J150" s="125" t="s">
        <v>216</v>
      </c>
      <c r="K150" s="126">
        <v>18.828</v>
      </c>
      <c r="L150" s="207">
        <v>0</v>
      </c>
      <c r="M150" s="206"/>
      <c r="N150" s="208">
        <f>ROUND($L$150*$K$150,2)</f>
        <v>0</v>
      </c>
      <c r="O150" s="206"/>
      <c r="P150" s="206"/>
      <c r="Q150" s="206"/>
      <c r="R150" s="22"/>
      <c r="T150" s="127"/>
      <c r="U150" s="28" t="s">
        <v>42</v>
      </c>
      <c r="V150" s="128">
        <v>0.006</v>
      </c>
      <c r="W150" s="128">
        <f>$V$150*$K$150</f>
        <v>0.112968</v>
      </c>
      <c r="X150" s="128">
        <v>0</v>
      </c>
      <c r="Y150" s="128">
        <f>$X$150*$K$150</f>
        <v>0</v>
      </c>
      <c r="Z150" s="128">
        <v>0</v>
      </c>
      <c r="AA150" s="129">
        <f>$Z$150*$K$150</f>
        <v>0</v>
      </c>
      <c r="AR150" s="6" t="s">
        <v>168</v>
      </c>
      <c r="AT150" s="6" t="s">
        <v>164</v>
      </c>
      <c r="AU150" s="6" t="s">
        <v>141</v>
      </c>
      <c r="AY150" s="6" t="s">
        <v>163</v>
      </c>
      <c r="BE150" s="82">
        <f>IF($U$150="základní",$N$150,0)</f>
        <v>0</v>
      </c>
      <c r="BF150" s="82">
        <f>IF($U$150="snížená",$N$150,0)</f>
        <v>0</v>
      </c>
      <c r="BG150" s="82">
        <f>IF($U$150="zákl. přenesená",$N$150,0)</f>
        <v>0</v>
      </c>
      <c r="BH150" s="82">
        <f>IF($U$150="sníž. přenesená",$N$150,0)</f>
        <v>0</v>
      </c>
      <c r="BI150" s="82">
        <f>IF($U$150="nulová",$N$150,0)</f>
        <v>0</v>
      </c>
      <c r="BJ150" s="6" t="s">
        <v>141</v>
      </c>
      <c r="BK150" s="82">
        <f>ROUND($L$150*$K$150,2)</f>
        <v>0</v>
      </c>
      <c r="BL150" s="6" t="s">
        <v>168</v>
      </c>
    </row>
    <row r="151" spans="2:51" s="6" customFormat="1" ht="15.75" customHeight="1">
      <c r="B151" s="130"/>
      <c r="E151" s="131"/>
      <c r="F151" s="209" t="s">
        <v>391</v>
      </c>
      <c r="G151" s="210"/>
      <c r="H151" s="210"/>
      <c r="I151" s="210"/>
      <c r="K151" s="132">
        <v>18.828</v>
      </c>
      <c r="R151" s="133"/>
      <c r="T151" s="134"/>
      <c r="AA151" s="135"/>
      <c r="AT151" s="131" t="s">
        <v>173</v>
      </c>
      <c r="AU151" s="131" t="s">
        <v>141</v>
      </c>
      <c r="AV151" s="131" t="s">
        <v>141</v>
      </c>
      <c r="AW151" s="131" t="s">
        <v>125</v>
      </c>
      <c r="AX151" s="131" t="s">
        <v>17</v>
      </c>
      <c r="AY151" s="131" t="s">
        <v>163</v>
      </c>
    </row>
    <row r="152" spans="2:64" s="6" customFormat="1" ht="27" customHeight="1">
      <c r="B152" s="21"/>
      <c r="C152" s="123" t="s">
        <v>209</v>
      </c>
      <c r="D152" s="123" t="s">
        <v>164</v>
      </c>
      <c r="E152" s="124" t="s">
        <v>224</v>
      </c>
      <c r="F152" s="205" t="s">
        <v>225</v>
      </c>
      <c r="G152" s="206"/>
      <c r="H152" s="206"/>
      <c r="I152" s="206"/>
      <c r="J152" s="125" t="s">
        <v>216</v>
      </c>
      <c r="K152" s="126">
        <v>0.767</v>
      </c>
      <c r="L152" s="207">
        <v>0</v>
      </c>
      <c r="M152" s="206"/>
      <c r="N152" s="208">
        <f>ROUND($L$152*$K$152,2)</f>
        <v>0</v>
      </c>
      <c r="O152" s="206"/>
      <c r="P152" s="206"/>
      <c r="Q152" s="206"/>
      <c r="R152" s="22"/>
      <c r="T152" s="127"/>
      <c r="U152" s="28" t="s">
        <v>42</v>
      </c>
      <c r="V152" s="128">
        <v>0</v>
      </c>
      <c r="W152" s="128">
        <f>$V$152*$K$152</f>
        <v>0</v>
      </c>
      <c r="X152" s="128">
        <v>0</v>
      </c>
      <c r="Y152" s="128">
        <f>$X$152*$K$152</f>
        <v>0</v>
      </c>
      <c r="Z152" s="128">
        <v>0</v>
      </c>
      <c r="AA152" s="129">
        <f>$Z$152*$K$152</f>
        <v>0</v>
      </c>
      <c r="AR152" s="6" t="s">
        <v>168</v>
      </c>
      <c r="AT152" s="6" t="s">
        <v>164</v>
      </c>
      <c r="AU152" s="6" t="s">
        <v>141</v>
      </c>
      <c r="AY152" s="6" t="s">
        <v>163</v>
      </c>
      <c r="BE152" s="82">
        <f>IF($U$152="základní",$N$152,0)</f>
        <v>0</v>
      </c>
      <c r="BF152" s="82">
        <f>IF($U$152="snížená",$N$152,0)</f>
        <v>0</v>
      </c>
      <c r="BG152" s="82">
        <f>IF($U$152="zákl. přenesená",$N$152,0)</f>
        <v>0</v>
      </c>
      <c r="BH152" s="82">
        <f>IF($U$152="sníž. přenesená",$N$152,0)</f>
        <v>0</v>
      </c>
      <c r="BI152" s="82">
        <f>IF($U$152="nulová",$N$152,0)</f>
        <v>0</v>
      </c>
      <c r="BJ152" s="6" t="s">
        <v>141</v>
      </c>
      <c r="BK152" s="82">
        <f>ROUND($L$152*$K$152,2)</f>
        <v>0</v>
      </c>
      <c r="BL152" s="6" t="s">
        <v>168</v>
      </c>
    </row>
    <row r="153" spans="2:64" s="6" customFormat="1" ht="15.75" customHeight="1">
      <c r="B153" s="21"/>
      <c r="C153" s="123" t="s">
        <v>213</v>
      </c>
      <c r="D153" s="123" t="s">
        <v>164</v>
      </c>
      <c r="E153" s="124" t="s">
        <v>227</v>
      </c>
      <c r="F153" s="205" t="s">
        <v>228</v>
      </c>
      <c r="G153" s="206"/>
      <c r="H153" s="206"/>
      <c r="I153" s="206"/>
      <c r="J153" s="125" t="s">
        <v>216</v>
      </c>
      <c r="K153" s="126">
        <v>3.618</v>
      </c>
      <c r="L153" s="207">
        <v>0</v>
      </c>
      <c r="M153" s="206"/>
      <c r="N153" s="208">
        <f>ROUND($L$153*$K$153,2)</f>
        <v>0</v>
      </c>
      <c r="O153" s="206"/>
      <c r="P153" s="206"/>
      <c r="Q153" s="206"/>
      <c r="R153" s="22"/>
      <c r="T153" s="127"/>
      <c r="U153" s="28" t="s">
        <v>42</v>
      </c>
      <c r="V153" s="128">
        <v>0.318</v>
      </c>
      <c r="W153" s="128">
        <f>$V$153*$K$153</f>
        <v>1.1505239999999999</v>
      </c>
      <c r="X153" s="128">
        <v>0</v>
      </c>
      <c r="Y153" s="128">
        <f>$X$153*$K$153</f>
        <v>0</v>
      </c>
      <c r="Z153" s="128">
        <v>0</v>
      </c>
      <c r="AA153" s="129">
        <f>$Z$153*$K$153</f>
        <v>0</v>
      </c>
      <c r="AR153" s="6" t="s">
        <v>168</v>
      </c>
      <c r="AT153" s="6" t="s">
        <v>164</v>
      </c>
      <c r="AU153" s="6" t="s">
        <v>141</v>
      </c>
      <c r="AY153" s="6" t="s">
        <v>163</v>
      </c>
      <c r="BE153" s="82">
        <f>IF($U$153="základní",$N$153,0)</f>
        <v>0</v>
      </c>
      <c r="BF153" s="82">
        <f>IF($U$153="snížená",$N$153,0)</f>
        <v>0</v>
      </c>
      <c r="BG153" s="82">
        <f>IF($U$153="zákl. přenesená",$N$153,0)</f>
        <v>0</v>
      </c>
      <c r="BH153" s="82">
        <f>IF($U$153="sníž. přenesená",$N$153,0)</f>
        <v>0</v>
      </c>
      <c r="BI153" s="82">
        <f>IF($U$153="nulová",$N$153,0)</f>
        <v>0</v>
      </c>
      <c r="BJ153" s="6" t="s">
        <v>141</v>
      </c>
      <c r="BK153" s="82">
        <f>ROUND($L$153*$K$153,2)</f>
        <v>0</v>
      </c>
      <c r="BL153" s="6" t="s">
        <v>168</v>
      </c>
    </row>
    <row r="154" spans="2:63" s="113" customFormat="1" ht="37.5" customHeight="1">
      <c r="B154" s="114"/>
      <c r="D154" s="115" t="s">
        <v>131</v>
      </c>
      <c r="N154" s="201">
        <f>$BK$154</f>
        <v>0</v>
      </c>
      <c r="O154" s="222"/>
      <c r="P154" s="222"/>
      <c r="Q154" s="222"/>
      <c r="R154" s="117"/>
      <c r="T154" s="118"/>
      <c r="W154" s="119">
        <f>$W$155+$W$164+$W$170</f>
        <v>112.54575600000001</v>
      </c>
      <c r="Y154" s="119">
        <f>$Y$155+$Y$164+$Y$170</f>
        <v>0.35277017</v>
      </c>
      <c r="AA154" s="120">
        <f>$AA$155+$AA$164+$AA$170</f>
        <v>0.7673160000000001</v>
      </c>
      <c r="AR154" s="116" t="s">
        <v>141</v>
      </c>
      <c r="AT154" s="116" t="s">
        <v>74</v>
      </c>
      <c r="AU154" s="116" t="s">
        <v>75</v>
      </c>
      <c r="AY154" s="116" t="s">
        <v>163</v>
      </c>
      <c r="BK154" s="121">
        <f>$BK$155+$BK$164+$BK$170</f>
        <v>0</v>
      </c>
    </row>
    <row r="155" spans="2:63" s="113" customFormat="1" ht="21" customHeight="1">
      <c r="B155" s="114"/>
      <c r="D155" s="122" t="s">
        <v>134</v>
      </c>
      <c r="N155" s="223">
        <f>$BK$155</f>
        <v>0</v>
      </c>
      <c r="O155" s="222"/>
      <c r="P155" s="222"/>
      <c r="Q155" s="222"/>
      <c r="R155" s="117"/>
      <c r="T155" s="118"/>
      <c r="W155" s="119">
        <f>SUM($W$156:$W$163)</f>
        <v>9.009920000000001</v>
      </c>
      <c r="Y155" s="119">
        <f>SUM($Y$156:$Y$163)</f>
        <v>0.101</v>
      </c>
      <c r="AA155" s="120">
        <f>SUM($AA$156:$AA$163)</f>
        <v>0.7080960000000001</v>
      </c>
      <c r="AR155" s="116" t="s">
        <v>141</v>
      </c>
      <c r="AT155" s="116" t="s">
        <v>74</v>
      </c>
      <c r="AU155" s="116" t="s">
        <v>17</v>
      </c>
      <c r="AY155" s="116" t="s">
        <v>163</v>
      </c>
      <c r="BK155" s="121">
        <f>SUM($BK$156:$BK$163)</f>
        <v>0</v>
      </c>
    </row>
    <row r="156" spans="2:64" s="6" customFormat="1" ht="27" customHeight="1">
      <c r="B156" s="21"/>
      <c r="C156" s="123" t="s">
        <v>8</v>
      </c>
      <c r="D156" s="123" t="s">
        <v>164</v>
      </c>
      <c r="E156" s="124" t="s">
        <v>392</v>
      </c>
      <c r="F156" s="205" t="s">
        <v>393</v>
      </c>
      <c r="G156" s="206"/>
      <c r="H156" s="206"/>
      <c r="I156" s="206"/>
      <c r="J156" s="125" t="s">
        <v>171</v>
      </c>
      <c r="K156" s="126">
        <v>33.28</v>
      </c>
      <c r="L156" s="207">
        <v>0</v>
      </c>
      <c r="M156" s="206"/>
      <c r="N156" s="208">
        <f>ROUND($L$156*$K$156,2)</f>
        <v>0</v>
      </c>
      <c r="O156" s="206"/>
      <c r="P156" s="206"/>
      <c r="Q156" s="206"/>
      <c r="R156" s="22"/>
      <c r="T156" s="127"/>
      <c r="U156" s="28" t="s">
        <v>42</v>
      </c>
      <c r="V156" s="128">
        <v>0.164</v>
      </c>
      <c r="W156" s="128">
        <f>$V$156*$K$156</f>
        <v>5.4579200000000005</v>
      </c>
      <c r="X156" s="128">
        <v>0</v>
      </c>
      <c r="Y156" s="128">
        <f>$X$156*$K$156</f>
        <v>0</v>
      </c>
      <c r="Z156" s="128">
        <v>0.01695</v>
      </c>
      <c r="AA156" s="129">
        <f>$Z$156*$K$156</f>
        <v>0.564096</v>
      </c>
      <c r="AR156" s="6" t="s">
        <v>168</v>
      </c>
      <c r="AT156" s="6" t="s">
        <v>164</v>
      </c>
      <c r="AU156" s="6" t="s">
        <v>141</v>
      </c>
      <c r="AY156" s="6" t="s">
        <v>163</v>
      </c>
      <c r="BE156" s="82">
        <f>IF($U$156="základní",$N$156,0)</f>
        <v>0</v>
      </c>
      <c r="BF156" s="82">
        <f>IF($U$156="snížená",$N$156,0)</f>
        <v>0</v>
      </c>
      <c r="BG156" s="82">
        <f>IF($U$156="zákl. přenesená",$N$156,0)</f>
        <v>0</v>
      </c>
      <c r="BH156" s="82">
        <f>IF($U$156="sníž. přenesená",$N$156,0)</f>
        <v>0</v>
      </c>
      <c r="BI156" s="82">
        <f>IF($U$156="nulová",$N$156,0)</f>
        <v>0</v>
      </c>
      <c r="BJ156" s="6" t="s">
        <v>141</v>
      </c>
      <c r="BK156" s="82">
        <f>ROUND($L$156*$K$156,2)</f>
        <v>0</v>
      </c>
      <c r="BL156" s="6" t="s">
        <v>168</v>
      </c>
    </row>
    <row r="157" spans="2:51" s="6" customFormat="1" ht="15.75" customHeight="1">
      <c r="B157" s="130"/>
      <c r="E157" s="131"/>
      <c r="F157" s="209" t="s">
        <v>394</v>
      </c>
      <c r="G157" s="210"/>
      <c r="H157" s="210"/>
      <c r="I157" s="210"/>
      <c r="K157" s="132">
        <v>33.28</v>
      </c>
      <c r="R157" s="133"/>
      <c r="T157" s="134"/>
      <c r="AA157" s="135"/>
      <c r="AT157" s="131" t="s">
        <v>173</v>
      </c>
      <c r="AU157" s="131" t="s">
        <v>141</v>
      </c>
      <c r="AV157" s="131" t="s">
        <v>141</v>
      </c>
      <c r="AW157" s="131" t="s">
        <v>125</v>
      </c>
      <c r="AX157" s="131" t="s">
        <v>17</v>
      </c>
      <c r="AY157" s="131" t="s">
        <v>163</v>
      </c>
    </row>
    <row r="158" spans="2:64" s="6" customFormat="1" ht="15.75" customHeight="1">
      <c r="B158" s="21"/>
      <c r="C158" s="123" t="s">
        <v>219</v>
      </c>
      <c r="D158" s="123" t="s">
        <v>164</v>
      </c>
      <c r="E158" s="124" t="s">
        <v>258</v>
      </c>
      <c r="F158" s="205" t="s">
        <v>259</v>
      </c>
      <c r="G158" s="206"/>
      <c r="H158" s="206"/>
      <c r="I158" s="206"/>
      <c r="J158" s="125" t="s">
        <v>167</v>
      </c>
      <c r="K158" s="126">
        <v>6</v>
      </c>
      <c r="L158" s="207">
        <v>0</v>
      </c>
      <c r="M158" s="206"/>
      <c r="N158" s="208">
        <f>ROUND($L$158*$K$158,2)</f>
        <v>0</v>
      </c>
      <c r="O158" s="206"/>
      <c r="P158" s="206"/>
      <c r="Q158" s="206"/>
      <c r="R158" s="22"/>
      <c r="T158" s="127"/>
      <c r="U158" s="28" t="s">
        <v>42</v>
      </c>
      <c r="V158" s="128">
        <v>0.542</v>
      </c>
      <c r="W158" s="128">
        <f>$V$158*$K$158</f>
        <v>3.2520000000000002</v>
      </c>
      <c r="X158" s="128">
        <v>0</v>
      </c>
      <c r="Y158" s="128">
        <f>$X$158*$K$158</f>
        <v>0</v>
      </c>
      <c r="Z158" s="128">
        <v>0</v>
      </c>
      <c r="AA158" s="129">
        <f>$Z$158*$K$158</f>
        <v>0</v>
      </c>
      <c r="AR158" s="6" t="s">
        <v>219</v>
      </c>
      <c r="AT158" s="6" t="s">
        <v>164</v>
      </c>
      <c r="AU158" s="6" t="s">
        <v>141</v>
      </c>
      <c r="AY158" s="6" t="s">
        <v>163</v>
      </c>
      <c r="BE158" s="82">
        <f>IF($U$158="základní",$N$158,0)</f>
        <v>0</v>
      </c>
      <c r="BF158" s="82">
        <f>IF($U$158="snížená",$N$158,0)</f>
        <v>0</v>
      </c>
      <c r="BG158" s="82">
        <f>IF($U$158="zákl. přenesená",$N$158,0)</f>
        <v>0</v>
      </c>
      <c r="BH158" s="82">
        <f>IF($U$158="sníž. přenesená",$N$158,0)</f>
        <v>0</v>
      </c>
      <c r="BI158" s="82">
        <f>IF($U$158="nulová",$N$158,0)</f>
        <v>0</v>
      </c>
      <c r="BJ158" s="6" t="s">
        <v>141</v>
      </c>
      <c r="BK158" s="82">
        <f>ROUND($L$158*$K$158,2)</f>
        <v>0</v>
      </c>
      <c r="BL158" s="6" t="s">
        <v>219</v>
      </c>
    </row>
    <row r="159" spans="2:64" s="6" customFormat="1" ht="15.75" customHeight="1">
      <c r="B159" s="21"/>
      <c r="C159" s="136" t="s">
        <v>223</v>
      </c>
      <c r="D159" s="136" t="s">
        <v>190</v>
      </c>
      <c r="E159" s="137" t="s">
        <v>261</v>
      </c>
      <c r="F159" s="211" t="s">
        <v>262</v>
      </c>
      <c r="G159" s="212"/>
      <c r="H159" s="212"/>
      <c r="I159" s="212"/>
      <c r="J159" s="138" t="s">
        <v>167</v>
      </c>
      <c r="K159" s="139">
        <v>6</v>
      </c>
      <c r="L159" s="213">
        <v>0</v>
      </c>
      <c r="M159" s="212"/>
      <c r="N159" s="214">
        <f>ROUND($L$159*$K$159,2)</f>
        <v>0</v>
      </c>
      <c r="O159" s="206"/>
      <c r="P159" s="206"/>
      <c r="Q159" s="206"/>
      <c r="R159" s="22"/>
      <c r="T159" s="127"/>
      <c r="U159" s="28" t="s">
        <v>42</v>
      </c>
      <c r="V159" s="128">
        <v>0</v>
      </c>
      <c r="W159" s="128">
        <f>$V$159*$K$159</f>
        <v>0</v>
      </c>
      <c r="X159" s="128">
        <v>0.001</v>
      </c>
      <c r="Y159" s="128">
        <f>$X$159*$K$159</f>
        <v>0.006</v>
      </c>
      <c r="Z159" s="128">
        <v>0</v>
      </c>
      <c r="AA159" s="129">
        <f>$Z$159*$K$159</f>
        <v>0</v>
      </c>
      <c r="AR159" s="6" t="s">
        <v>263</v>
      </c>
      <c r="AT159" s="6" t="s">
        <v>190</v>
      </c>
      <c r="AU159" s="6" t="s">
        <v>141</v>
      </c>
      <c r="AY159" s="6" t="s">
        <v>163</v>
      </c>
      <c r="BE159" s="82">
        <f>IF($U$159="základní",$N$159,0)</f>
        <v>0</v>
      </c>
      <c r="BF159" s="82">
        <f>IF($U$159="snížená",$N$159,0)</f>
        <v>0</v>
      </c>
      <c r="BG159" s="82">
        <f>IF($U$159="zákl. přenesená",$N$159,0)</f>
        <v>0</v>
      </c>
      <c r="BH159" s="82">
        <f>IF($U$159="sníž. přenesená",$N$159,0)</f>
        <v>0</v>
      </c>
      <c r="BI159" s="82">
        <f>IF($U$159="nulová",$N$159,0)</f>
        <v>0</v>
      </c>
      <c r="BJ159" s="6" t="s">
        <v>141</v>
      </c>
      <c r="BK159" s="82">
        <f>ROUND($L$159*$K$159,2)</f>
        <v>0</v>
      </c>
      <c r="BL159" s="6" t="s">
        <v>219</v>
      </c>
    </row>
    <row r="160" spans="2:64" s="6" customFormat="1" ht="27" customHeight="1">
      <c r="B160" s="21"/>
      <c r="C160" s="123" t="s">
        <v>226</v>
      </c>
      <c r="D160" s="123" t="s">
        <v>164</v>
      </c>
      <c r="E160" s="124" t="s">
        <v>265</v>
      </c>
      <c r="F160" s="205" t="s">
        <v>266</v>
      </c>
      <c r="G160" s="206"/>
      <c r="H160" s="206"/>
      <c r="I160" s="206"/>
      <c r="J160" s="125" t="s">
        <v>167</v>
      </c>
      <c r="K160" s="126">
        <v>6</v>
      </c>
      <c r="L160" s="207">
        <v>0</v>
      </c>
      <c r="M160" s="206"/>
      <c r="N160" s="208">
        <f>ROUND($L$160*$K$160,2)</f>
        <v>0</v>
      </c>
      <c r="O160" s="206"/>
      <c r="P160" s="206"/>
      <c r="Q160" s="206"/>
      <c r="R160" s="22"/>
      <c r="T160" s="127"/>
      <c r="U160" s="28" t="s">
        <v>42</v>
      </c>
      <c r="V160" s="128">
        <v>0.05</v>
      </c>
      <c r="W160" s="128">
        <f>$V$160*$K$160</f>
        <v>0.30000000000000004</v>
      </c>
      <c r="X160" s="128">
        <v>0</v>
      </c>
      <c r="Y160" s="128">
        <f>$X$160*$K$160</f>
        <v>0</v>
      </c>
      <c r="Z160" s="128">
        <v>0.024</v>
      </c>
      <c r="AA160" s="129">
        <f>$Z$160*$K$160</f>
        <v>0.14400000000000002</v>
      </c>
      <c r="AR160" s="6" t="s">
        <v>219</v>
      </c>
      <c r="AT160" s="6" t="s">
        <v>164</v>
      </c>
      <c r="AU160" s="6" t="s">
        <v>141</v>
      </c>
      <c r="AY160" s="6" t="s">
        <v>163</v>
      </c>
      <c r="BE160" s="82">
        <f>IF($U$160="základní",$N$160,0)</f>
        <v>0</v>
      </c>
      <c r="BF160" s="82">
        <f>IF($U$160="snížená",$N$160,0)</f>
        <v>0</v>
      </c>
      <c r="BG160" s="82">
        <f>IF($U$160="zákl. přenesená",$N$160,0)</f>
        <v>0</v>
      </c>
      <c r="BH160" s="82">
        <f>IF($U$160="sníž. přenesená",$N$160,0)</f>
        <v>0</v>
      </c>
      <c r="BI160" s="82">
        <f>IF($U$160="nulová",$N$160,0)</f>
        <v>0</v>
      </c>
      <c r="BJ160" s="6" t="s">
        <v>141</v>
      </c>
      <c r="BK160" s="82">
        <f>ROUND($L$160*$K$160,2)</f>
        <v>0</v>
      </c>
      <c r="BL160" s="6" t="s">
        <v>219</v>
      </c>
    </row>
    <row r="161" spans="2:64" s="6" customFormat="1" ht="27" customHeight="1">
      <c r="B161" s="21"/>
      <c r="C161" s="136" t="s">
        <v>229</v>
      </c>
      <c r="D161" s="136" t="s">
        <v>190</v>
      </c>
      <c r="E161" s="137" t="s">
        <v>268</v>
      </c>
      <c r="F161" s="211" t="s">
        <v>269</v>
      </c>
      <c r="G161" s="212"/>
      <c r="H161" s="212"/>
      <c r="I161" s="212"/>
      <c r="J161" s="138" t="s">
        <v>167</v>
      </c>
      <c r="K161" s="139">
        <v>5</v>
      </c>
      <c r="L161" s="213">
        <v>0</v>
      </c>
      <c r="M161" s="212"/>
      <c r="N161" s="214">
        <f>ROUND($L$161*$K$161,2)</f>
        <v>0</v>
      </c>
      <c r="O161" s="206"/>
      <c r="P161" s="206"/>
      <c r="Q161" s="206"/>
      <c r="R161" s="22"/>
      <c r="T161" s="127"/>
      <c r="U161" s="28" t="s">
        <v>42</v>
      </c>
      <c r="V161" s="128">
        <v>0</v>
      </c>
      <c r="W161" s="128">
        <f>$V$161*$K$161</f>
        <v>0</v>
      </c>
      <c r="X161" s="128">
        <v>0.0155</v>
      </c>
      <c r="Y161" s="128">
        <f>$X$161*$K$161</f>
        <v>0.0775</v>
      </c>
      <c r="Z161" s="128">
        <v>0</v>
      </c>
      <c r="AA161" s="129">
        <f>$Z$161*$K$161</f>
        <v>0</v>
      </c>
      <c r="AR161" s="6" t="s">
        <v>263</v>
      </c>
      <c r="AT161" s="6" t="s">
        <v>190</v>
      </c>
      <c r="AU161" s="6" t="s">
        <v>141</v>
      </c>
      <c r="AY161" s="6" t="s">
        <v>163</v>
      </c>
      <c r="BE161" s="82">
        <f>IF($U$161="základní",$N$161,0)</f>
        <v>0</v>
      </c>
      <c r="BF161" s="82">
        <f>IF($U$161="snížená",$N$161,0)</f>
        <v>0</v>
      </c>
      <c r="BG161" s="82">
        <f>IF($U$161="zákl. přenesená",$N$161,0)</f>
        <v>0</v>
      </c>
      <c r="BH161" s="82">
        <f>IF($U$161="sníž. přenesená",$N$161,0)</f>
        <v>0</v>
      </c>
      <c r="BI161" s="82">
        <f>IF($U$161="nulová",$N$161,0)</f>
        <v>0</v>
      </c>
      <c r="BJ161" s="6" t="s">
        <v>141</v>
      </c>
      <c r="BK161" s="82">
        <f>ROUND($L$161*$K$161,2)</f>
        <v>0</v>
      </c>
      <c r="BL161" s="6" t="s">
        <v>219</v>
      </c>
    </row>
    <row r="162" spans="2:64" s="6" customFormat="1" ht="27" customHeight="1">
      <c r="B162" s="21"/>
      <c r="C162" s="136" t="s">
        <v>232</v>
      </c>
      <c r="D162" s="136" t="s">
        <v>190</v>
      </c>
      <c r="E162" s="137" t="s">
        <v>270</v>
      </c>
      <c r="F162" s="211" t="s">
        <v>271</v>
      </c>
      <c r="G162" s="212"/>
      <c r="H162" s="212"/>
      <c r="I162" s="212"/>
      <c r="J162" s="138" t="s">
        <v>167</v>
      </c>
      <c r="K162" s="139">
        <v>1</v>
      </c>
      <c r="L162" s="213">
        <v>0</v>
      </c>
      <c r="M162" s="212"/>
      <c r="N162" s="214">
        <f>ROUND($L$162*$K$162,2)</f>
        <v>0</v>
      </c>
      <c r="O162" s="206"/>
      <c r="P162" s="206"/>
      <c r="Q162" s="206"/>
      <c r="R162" s="22"/>
      <c r="T162" s="127"/>
      <c r="U162" s="28" t="s">
        <v>42</v>
      </c>
      <c r="V162" s="128">
        <v>0</v>
      </c>
      <c r="W162" s="128">
        <f>$V$162*$K$162</f>
        <v>0</v>
      </c>
      <c r="X162" s="128">
        <v>0.0175</v>
      </c>
      <c r="Y162" s="128">
        <f>$X$162*$K$162</f>
        <v>0.0175</v>
      </c>
      <c r="Z162" s="128">
        <v>0</v>
      </c>
      <c r="AA162" s="129">
        <f>$Z$162*$K$162</f>
        <v>0</v>
      </c>
      <c r="AR162" s="6" t="s">
        <v>263</v>
      </c>
      <c r="AT162" s="6" t="s">
        <v>190</v>
      </c>
      <c r="AU162" s="6" t="s">
        <v>141</v>
      </c>
      <c r="AY162" s="6" t="s">
        <v>163</v>
      </c>
      <c r="BE162" s="82">
        <f>IF($U$162="základní",$N$162,0)</f>
        <v>0</v>
      </c>
      <c r="BF162" s="82">
        <f>IF($U$162="snížená",$N$162,0)</f>
        <v>0</v>
      </c>
      <c r="BG162" s="82">
        <f>IF($U$162="zákl. přenesená",$N$162,0)</f>
        <v>0</v>
      </c>
      <c r="BH162" s="82">
        <f>IF($U$162="sníž. přenesená",$N$162,0)</f>
        <v>0</v>
      </c>
      <c r="BI162" s="82">
        <f>IF($U$162="nulová",$N$162,0)</f>
        <v>0</v>
      </c>
      <c r="BJ162" s="6" t="s">
        <v>141</v>
      </c>
      <c r="BK162" s="82">
        <f>ROUND($L$162*$K$162,2)</f>
        <v>0</v>
      </c>
      <c r="BL162" s="6" t="s">
        <v>219</v>
      </c>
    </row>
    <row r="163" spans="2:64" s="6" customFormat="1" ht="27" customHeight="1">
      <c r="B163" s="21"/>
      <c r="C163" s="123" t="s">
        <v>7</v>
      </c>
      <c r="D163" s="123" t="s">
        <v>164</v>
      </c>
      <c r="E163" s="124" t="s">
        <v>273</v>
      </c>
      <c r="F163" s="205" t="s">
        <v>274</v>
      </c>
      <c r="G163" s="206"/>
      <c r="H163" s="206"/>
      <c r="I163" s="206"/>
      <c r="J163" s="125" t="s">
        <v>240</v>
      </c>
      <c r="K163" s="140">
        <v>0</v>
      </c>
      <c r="L163" s="207">
        <v>0</v>
      </c>
      <c r="M163" s="206"/>
      <c r="N163" s="208">
        <f>ROUND($L$163*$K$163,2)</f>
        <v>0</v>
      </c>
      <c r="O163" s="206"/>
      <c r="P163" s="206"/>
      <c r="Q163" s="206"/>
      <c r="R163" s="22"/>
      <c r="T163" s="127"/>
      <c r="U163" s="28" t="s">
        <v>42</v>
      </c>
      <c r="V163" s="128">
        <v>0</v>
      </c>
      <c r="W163" s="128">
        <f>$V$163*$K$163</f>
        <v>0</v>
      </c>
      <c r="X163" s="128">
        <v>0</v>
      </c>
      <c r="Y163" s="128">
        <f>$X$163*$K$163</f>
        <v>0</v>
      </c>
      <c r="Z163" s="128">
        <v>0</v>
      </c>
      <c r="AA163" s="129">
        <f>$Z$163*$K$163</f>
        <v>0</v>
      </c>
      <c r="AR163" s="6" t="s">
        <v>219</v>
      </c>
      <c r="AT163" s="6" t="s">
        <v>164</v>
      </c>
      <c r="AU163" s="6" t="s">
        <v>141</v>
      </c>
      <c r="AY163" s="6" t="s">
        <v>163</v>
      </c>
      <c r="BE163" s="82">
        <f>IF($U$163="základní",$N$163,0)</f>
        <v>0</v>
      </c>
      <c r="BF163" s="82">
        <f>IF($U$163="snížená",$N$163,0)</f>
        <v>0</v>
      </c>
      <c r="BG163" s="82">
        <f>IF($U$163="zákl. přenesená",$N$163,0)</f>
        <v>0</v>
      </c>
      <c r="BH163" s="82">
        <f>IF($U$163="sníž. přenesená",$N$163,0)</f>
        <v>0</v>
      </c>
      <c r="BI163" s="82">
        <f>IF($U$163="nulová",$N$163,0)</f>
        <v>0</v>
      </c>
      <c r="BJ163" s="6" t="s">
        <v>141</v>
      </c>
      <c r="BK163" s="82">
        <f>ROUND($L$163*$K$163,2)</f>
        <v>0</v>
      </c>
      <c r="BL163" s="6" t="s">
        <v>219</v>
      </c>
    </row>
    <row r="164" spans="2:63" s="113" customFormat="1" ht="30.75" customHeight="1">
      <c r="B164" s="114"/>
      <c r="D164" s="122" t="s">
        <v>135</v>
      </c>
      <c r="N164" s="223">
        <f>$BK$164</f>
        <v>0</v>
      </c>
      <c r="O164" s="222"/>
      <c r="P164" s="222"/>
      <c r="Q164" s="222"/>
      <c r="R164" s="117"/>
      <c r="T164" s="118"/>
      <c r="W164" s="119">
        <f>SUM($W$165:$W$169)</f>
        <v>26.329734</v>
      </c>
      <c r="Y164" s="119">
        <f>SUM($Y$165:$Y$169)</f>
        <v>0.016058700000000002</v>
      </c>
      <c r="AA164" s="120">
        <f>SUM($AA$165:$AA$169)</f>
        <v>0</v>
      </c>
      <c r="AR164" s="116" t="s">
        <v>141</v>
      </c>
      <c r="AT164" s="116" t="s">
        <v>74</v>
      </c>
      <c r="AU164" s="116" t="s">
        <v>17</v>
      </c>
      <c r="AY164" s="116" t="s">
        <v>163</v>
      </c>
      <c r="BK164" s="121">
        <f>SUM($BK$165:$BK$169)</f>
        <v>0</v>
      </c>
    </row>
    <row r="165" spans="2:64" s="6" customFormat="1" ht="27" customHeight="1">
      <c r="B165" s="21"/>
      <c r="C165" s="123" t="s">
        <v>237</v>
      </c>
      <c r="D165" s="123" t="s">
        <v>164</v>
      </c>
      <c r="E165" s="124" t="s">
        <v>276</v>
      </c>
      <c r="F165" s="205" t="s">
        <v>277</v>
      </c>
      <c r="G165" s="206"/>
      <c r="H165" s="206"/>
      <c r="I165" s="206"/>
      <c r="J165" s="125" t="s">
        <v>171</v>
      </c>
      <c r="K165" s="126">
        <v>17.632</v>
      </c>
      <c r="L165" s="207">
        <v>0</v>
      </c>
      <c r="M165" s="206"/>
      <c r="N165" s="208">
        <f>ROUND($L$165*$K$165,2)</f>
        <v>0</v>
      </c>
      <c r="O165" s="206"/>
      <c r="P165" s="206"/>
      <c r="Q165" s="206"/>
      <c r="R165" s="22"/>
      <c r="T165" s="127"/>
      <c r="U165" s="28" t="s">
        <v>42</v>
      </c>
      <c r="V165" s="128">
        <v>0.287</v>
      </c>
      <c r="W165" s="128">
        <f>$V$165*$K$165</f>
        <v>5.060384</v>
      </c>
      <c r="X165" s="128">
        <v>0.00016</v>
      </c>
      <c r="Y165" s="128">
        <f>$X$165*$K$165</f>
        <v>0.0028211200000000003</v>
      </c>
      <c r="Z165" s="128">
        <v>0</v>
      </c>
      <c r="AA165" s="129">
        <f>$Z$165*$K$165</f>
        <v>0</v>
      </c>
      <c r="AR165" s="6" t="s">
        <v>219</v>
      </c>
      <c r="AT165" s="6" t="s">
        <v>164</v>
      </c>
      <c r="AU165" s="6" t="s">
        <v>141</v>
      </c>
      <c r="AY165" s="6" t="s">
        <v>163</v>
      </c>
      <c r="BE165" s="82">
        <f>IF($U$165="základní",$N$165,0)</f>
        <v>0</v>
      </c>
      <c r="BF165" s="82">
        <f>IF($U$165="snížená",$N$165,0)</f>
        <v>0</v>
      </c>
      <c r="BG165" s="82">
        <f>IF($U$165="zákl. přenesená",$N$165,0)</f>
        <v>0</v>
      </c>
      <c r="BH165" s="82">
        <f>IF($U$165="sníž. přenesená",$N$165,0)</f>
        <v>0</v>
      </c>
      <c r="BI165" s="82">
        <f>IF($U$165="nulová",$N$165,0)</f>
        <v>0</v>
      </c>
      <c r="BJ165" s="6" t="s">
        <v>141</v>
      </c>
      <c r="BK165" s="82">
        <f>ROUND($L$165*$K$165,2)</f>
        <v>0</v>
      </c>
      <c r="BL165" s="6" t="s">
        <v>219</v>
      </c>
    </row>
    <row r="166" spans="2:51" s="6" customFormat="1" ht="15.75" customHeight="1">
      <c r="B166" s="130"/>
      <c r="E166" s="131"/>
      <c r="F166" s="209" t="s">
        <v>278</v>
      </c>
      <c r="G166" s="210"/>
      <c r="H166" s="210"/>
      <c r="I166" s="210"/>
      <c r="K166" s="132">
        <v>17.632</v>
      </c>
      <c r="R166" s="133"/>
      <c r="T166" s="134"/>
      <c r="AA166" s="135"/>
      <c r="AT166" s="131" t="s">
        <v>173</v>
      </c>
      <c r="AU166" s="131" t="s">
        <v>141</v>
      </c>
      <c r="AV166" s="131" t="s">
        <v>141</v>
      </c>
      <c r="AW166" s="131" t="s">
        <v>125</v>
      </c>
      <c r="AX166" s="131" t="s">
        <v>17</v>
      </c>
      <c r="AY166" s="131" t="s">
        <v>163</v>
      </c>
    </row>
    <row r="167" spans="2:64" s="6" customFormat="1" ht="39" customHeight="1">
      <c r="B167" s="21"/>
      <c r="C167" s="123" t="s">
        <v>241</v>
      </c>
      <c r="D167" s="123" t="s">
        <v>164</v>
      </c>
      <c r="E167" s="124" t="s">
        <v>280</v>
      </c>
      <c r="F167" s="205" t="s">
        <v>281</v>
      </c>
      <c r="G167" s="206"/>
      <c r="H167" s="206"/>
      <c r="I167" s="206"/>
      <c r="J167" s="125" t="s">
        <v>171</v>
      </c>
      <c r="K167" s="126">
        <v>32.918</v>
      </c>
      <c r="L167" s="207">
        <v>0</v>
      </c>
      <c r="M167" s="206"/>
      <c r="N167" s="208">
        <f>ROUND($L$167*$K$167,2)</f>
        <v>0</v>
      </c>
      <c r="O167" s="206"/>
      <c r="P167" s="206"/>
      <c r="Q167" s="206"/>
      <c r="R167" s="22"/>
      <c r="T167" s="127"/>
      <c r="U167" s="28" t="s">
        <v>42</v>
      </c>
      <c r="V167" s="128">
        <v>0.506</v>
      </c>
      <c r="W167" s="128">
        <f>$V$167*$K$167</f>
        <v>16.656508</v>
      </c>
      <c r="X167" s="128">
        <v>0.00032</v>
      </c>
      <c r="Y167" s="128">
        <f>$X$167*$K$167</f>
        <v>0.010533760000000001</v>
      </c>
      <c r="Z167" s="128">
        <v>0</v>
      </c>
      <c r="AA167" s="129">
        <f>$Z$167*$K$167</f>
        <v>0</v>
      </c>
      <c r="AR167" s="6" t="s">
        <v>219</v>
      </c>
      <c r="AT167" s="6" t="s">
        <v>164</v>
      </c>
      <c r="AU167" s="6" t="s">
        <v>141</v>
      </c>
      <c r="AY167" s="6" t="s">
        <v>163</v>
      </c>
      <c r="BE167" s="82">
        <f>IF($U$167="základní",$N$167,0)</f>
        <v>0</v>
      </c>
      <c r="BF167" s="82">
        <f>IF($U$167="snížená",$N$167,0)</f>
        <v>0</v>
      </c>
      <c r="BG167" s="82">
        <f>IF($U$167="zákl. přenesená",$N$167,0)</f>
        <v>0</v>
      </c>
      <c r="BH167" s="82">
        <f>IF($U$167="sníž. přenesená",$N$167,0)</f>
        <v>0</v>
      </c>
      <c r="BI167" s="82">
        <f>IF($U$167="nulová",$N$167,0)</f>
        <v>0</v>
      </c>
      <c r="BJ167" s="6" t="s">
        <v>141</v>
      </c>
      <c r="BK167" s="82">
        <f>ROUND($L$167*$K$167,2)</f>
        <v>0</v>
      </c>
      <c r="BL167" s="6" t="s">
        <v>219</v>
      </c>
    </row>
    <row r="168" spans="2:64" s="6" customFormat="1" ht="15.75" customHeight="1">
      <c r="B168" s="21"/>
      <c r="C168" s="123" t="s">
        <v>245</v>
      </c>
      <c r="D168" s="123" t="s">
        <v>164</v>
      </c>
      <c r="E168" s="124" t="s">
        <v>283</v>
      </c>
      <c r="F168" s="205" t="s">
        <v>284</v>
      </c>
      <c r="G168" s="206"/>
      <c r="H168" s="206"/>
      <c r="I168" s="206"/>
      <c r="J168" s="125" t="s">
        <v>171</v>
      </c>
      <c r="K168" s="126">
        <v>17.632</v>
      </c>
      <c r="L168" s="207">
        <v>0</v>
      </c>
      <c r="M168" s="206"/>
      <c r="N168" s="208">
        <f>ROUND($L$168*$K$168,2)</f>
        <v>0</v>
      </c>
      <c r="O168" s="206"/>
      <c r="P168" s="206"/>
      <c r="Q168" s="206"/>
      <c r="R168" s="22"/>
      <c r="T168" s="127"/>
      <c r="U168" s="28" t="s">
        <v>42</v>
      </c>
      <c r="V168" s="128">
        <v>0.144</v>
      </c>
      <c r="W168" s="128">
        <f>$V$168*$K$168</f>
        <v>2.539008</v>
      </c>
      <c r="X168" s="128">
        <v>6E-05</v>
      </c>
      <c r="Y168" s="128">
        <f>$X$168*$K$168</f>
        <v>0.0010579200000000002</v>
      </c>
      <c r="Z168" s="128">
        <v>0</v>
      </c>
      <c r="AA168" s="129">
        <f>$Z$168*$K$168</f>
        <v>0</v>
      </c>
      <c r="AR168" s="6" t="s">
        <v>219</v>
      </c>
      <c r="AT168" s="6" t="s">
        <v>164</v>
      </c>
      <c r="AU168" s="6" t="s">
        <v>141</v>
      </c>
      <c r="AY168" s="6" t="s">
        <v>163</v>
      </c>
      <c r="BE168" s="82">
        <f>IF($U$168="základní",$N$168,0)</f>
        <v>0</v>
      </c>
      <c r="BF168" s="82">
        <f>IF($U$168="snížená",$N$168,0)</f>
        <v>0</v>
      </c>
      <c r="BG168" s="82">
        <f>IF($U$168="zákl. přenesená",$N$168,0)</f>
        <v>0</v>
      </c>
      <c r="BH168" s="82">
        <f>IF($U$168="sníž. přenesená",$N$168,0)</f>
        <v>0</v>
      </c>
      <c r="BI168" s="82">
        <f>IF($U$168="nulová",$N$168,0)</f>
        <v>0</v>
      </c>
      <c r="BJ168" s="6" t="s">
        <v>141</v>
      </c>
      <c r="BK168" s="82">
        <f>ROUND($L$168*$K$168,2)</f>
        <v>0</v>
      </c>
      <c r="BL168" s="6" t="s">
        <v>219</v>
      </c>
    </row>
    <row r="169" spans="2:64" s="6" customFormat="1" ht="15.75" customHeight="1">
      <c r="B169" s="21"/>
      <c r="C169" s="123" t="s">
        <v>248</v>
      </c>
      <c r="D169" s="123" t="s">
        <v>164</v>
      </c>
      <c r="E169" s="124" t="s">
        <v>288</v>
      </c>
      <c r="F169" s="205" t="s">
        <v>289</v>
      </c>
      <c r="G169" s="206"/>
      <c r="H169" s="206"/>
      <c r="I169" s="206"/>
      <c r="J169" s="125" t="s">
        <v>171</v>
      </c>
      <c r="K169" s="126">
        <v>32.918</v>
      </c>
      <c r="L169" s="207">
        <v>0</v>
      </c>
      <c r="M169" s="206"/>
      <c r="N169" s="208">
        <f>ROUND($L$169*$K$169,2)</f>
        <v>0</v>
      </c>
      <c r="O169" s="206"/>
      <c r="P169" s="206"/>
      <c r="Q169" s="206"/>
      <c r="R169" s="22"/>
      <c r="T169" s="127"/>
      <c r="U169" s="28" t="s">
        <v>42</v>
      </c>
      <c r="V169" s="128">
        <v>0.063</v>
      </c>
      <c r="W169" s="128">
        <f>$V$169*$K$169</f>
        <v>2.073834</v>
      </c>
      <c r="X169" s="128">
        <v>5E-05</v>
      </c>
      <c r="Y169" s="128">
        <f>$X$169*$K$169</f>
        <v>0.0016459</v>
      </c>
      <c r="Z169" s="128">
        <v>0</v>
      </c>
      <c r="AA169" s="129">
        <f>$Z$169*$K$169</f>
        <v>0</v>
      </c>
      <c r="AR169" s="6" t="s">
        <v>219</v>
      </c>
      <c r="AT169" s="6" t="s">
        <v>164</v>
      </c>
      <c r="AU169" s="6" t="s">
        <v>141</v>
      </c>
      <c r="AY169" s="6" t="s">
        <v>163</v>
      </c>
      <c r="BE169" s="82">
        <f>IF($U$169="základní",$N$169,0)</f>
        <v>0</v>
      </c>
      <c r="BF169" s="82">
        <f>IF($U$169="snížená",$N$169,0)</f>
        <v>0</v>
      </c>
      <c r="BG169" s="82">
        <f>IF($U$169="zákl. přenesená",$N$169,0)</f>
        <v>0</v>
      </c>
      <c r="BH169" s="82">
        <f>IF($U$169="sníž. přenesená",$N$169,0)</f>
        <v>0</v>
      </c>
      <c r="BI169" s="82">
        <f>IF($U$169="nulová",$N$169,0)</f>
        <v>0</v>
      </c>
      <c r="BJ169" s="6" t="s">
        <v>141</v>
      </c>
      <c r="BK169" s="82">
        <f>ROUND($L$169*$K$169,2)</f>
        <v>0</v>
      </c>
      <c r="BL169" s="6" t="s">
        <v>219</v>
      </c>
    </row>
    <row r="170" spans="2:63" s="113" customFormat="1" ht="30.75" customHeight="1">
      <c r="B170" s="114"/>
      <c r="D170" s="122" t="s">
        <v>136</v>
      </c>
      <c r="N170" s="223">
        <f>$BK$170</f>
        <v>0</v>
      </c>
      <c r="O170" s="222"/>
      <c r="P170" s="222"/>
      <c r="Q170" s="222"/>
      <c r="R170" s="117"/>
      <c r="T170" s="118"/>
      <c r="W170" s="119">
        <f>SUM($W$171:$W$185)</f>
        <v>77.20610200000002</v>
      </c>
      <c r="Y170" s="119">
        <f>SUM($Y$171:$Y$185)</f>
        <v>0.23571147</v>
      </c>
      <c r="AA170" s="120">
        <f>SUM($AA$171:$AA$185)</f>
        <v>0.059219999999999995</v>
      </c>
      <c r="AR170" s="116" t="s">
        <v>141</v>
      </c>
      <c r="AT170" s="116" t="s">
        <v>74</v>
      </c>
      <c r="AU170" s="116" t="s">
        <v>17</v>
      </c>
      <c r="AY170" s="116" t="s">
        <v>163</v>
      </c>
      <c r="BK170" s="121">
        <f>SUM($BK$171:$BK$185)</f>
        <v>0</v>
      </c>
    </row>
    <row r="171" spans="2:64" s="6" customFormat="1" ht="27" customHeight="1">
      <c r="B171" s="21"/>
      <c r="C171" s="123" t="s">
        <v>251</v>
      </c>
      <c r="D171" s="123" t="s">
        <v>164</v>
      </c>
      <c r="E171" s="124" t="s">
        <v>292</v>
      </c>
      <c r="F171" s="205" t="s">
        <v>293</v>
      </c>
      <c r="G171" s="206"/>
      <c r="H171" s="206"/>
      <c r="I171" s="206"/>
      <c r="J171" s="125" t="s">
        <v>171</v>
      </c>
      <c r="K171" s="126">
        <v>394.8</v>
      </c>
      <c r="L171" s="207">
        <v>0</v>
      </c>
      <c r="M171" s="206"/>
      <c r="N171" s="208">
        <f>ROUND($L$171*$K$171,2)</f>
        <v>0</v>
      </c>
      <c r="O171" s="206"/>
      <c r="P171" s="206"/>
      <c r="Q171" s="206"/>
      <c r="R171" s="22"/>
      <c r="T171" s="127"/>
      <c r="U171" s="28" t="s">
        <v>42</v>
      </c>
      <c r="V171" s="128">
        <v>0.035</v>
      </c>
      <c r="W171" s="128">
        <f>$V$171*$K$171</f>
        <v>13.818000000000001</v>
      </c>
      <c r="X171" s="128">
        <v>0</v>
      </c>
      <c r="Y171" s="128">
        <f>$X$171*$K$171</f>
        <v>0</v>
      </c>
      <c r="Z171" s="128">
        <v>0.00015</v>
      </c>
      <c r="AA171" s="129">
        <f>$Z$171*$K$171</f>
        <v>0.059219999999999995</v>
      </c>
      <c r="AR171" s="6" t="s">
        <v>219</v>
      </c>
      <c r="AT171" s="6" t="s">
        <v>164</v>
      </c>
      <c r="AU171" s="6" t="s">
        <v>141</v>
      </c>
      <c r="AY171" s="6" t="s">
        <v>163</v>
      </c>
      <c r="BE171" s="82">
        <f>IF($U$171="základní",$N$171,0)</f>
        <v>0</v>
      </c>
      <c r="BF171" s="82">
        <f>IF($U$171="snížená",$N$171,0)</f>
        <v>0</v>
      </c>
      <c r="BG171" s="82">
        <f>IF($U$171="zákl. přenesená",$N$171,0)</f>
        <v>0</v>
      </c>
      <c r="BH171" s="82">
        <f>IF($U$171="sníž. přenesená",$N$171,0)</f>
        <v>0</v>
      </c>
      <c r="BI171" s="82">
        <f>IF($U$171="nulová",$N$171,0)</f>
        <v>0</v>
      </c>
      <c r="BJ171" s="6" t="s">
        <v>141</v>
      </c>
      <c r="BK171" s="82">
        <f>ROUND($L$171*$K$171,2)</f>
        <v>0</v>
      </c>
      <c r="BL171" s="6" t="s">
        <v>219</v>
      </c>
    </row>
    <row r="172" spans="2:51" s="6" customFormat="1" ht="27" customHeight="1">
      <c r="B172" s="130"/>
      <c r="E172" s="131"/>
      <c r="F172" s="209" t="s">
        <v>395</v>
      </c>
      <c r="G172" s="210"/>
      <c r="H172" s="210"/>
      <c r="I172" s="210"/>
      <c r="K172" s="132">
        <v>394.8</v>
      </c>
      <c r="R172" s="133"/>
      <c r="T172" s="134"/>
      <c r="AA172" s="135"/>
      <c r="AT172" s="131" t="s">
        <v>173</v>
      </c>
      <c r="AU172" s="131" t="s">
        <v>141</v>
      </c>
      <c r="AV172" s="131" t="s">
        <v>141</v>
      </c>
      <c r="AW172" s="131" t="s">
        <v>125</v>
      </c>
      <c r="AX172" s="131" t="s">
        <v>75</v>
      </c>
      <c r="AY172" s="131" t="s">
        <v>163</v>
      </c>
    </row>
    <row r="173" spans="2:51" s="6" customFormat="1" ht="15.75" customHeight="1">
      <c r="B173" s="141"/>
      <c r="E173" s="142"/>
      <c r="F173" s="215" t="s">
        <v>286</v>
      </c>
      <c r="G173" s="216"/>
      <c r="H173" s="216"/>
      <c r="I173" s="216"/>
      <c r="K173" s="143">
        <v>394.8</v>
      </c>
      <c r="R173" s="144"/>
      <c r="T173" s="145"/>
      <c r="AA173" s="146"/>
      <c r="AT173" s="142" t="s">
        <v>173</v>
      </c>
      <c r="AU173" s="142" t="s">
        <v>141</v>
      </c>
      <c r="AV173" s="142" t="s">
        <v>168</v>
      </c>
      <c r="AW173" s="142" t="s">
        <v>125</v>
      </c>
      <c r="AX173" s="142" t="s">
        <v>17</v>
      </c>
      <c r="AY173" s="142" t="s">
        <v>163</v>
      </c>
    </row>
    <row r="174" spans="2:64" s="6" customFormat="1" ht="27" customHeight="1">
      <c r="B174" s="21"/>
      <c r="C174" s="123" t="s">
        <v>254</v>
      </c>
      <c r="D174" s="123" t="s">
        <v>164</v>
      </c>
      <c r="E174" s="124" t="s">
        <v>299</v>
      </c>
      <c r="F174" s="205" t="s">
        <v>300</v>
      </c>
      <c r="G174" s="206"/>
      <c r="H174" s="206"/>
      <c r="I174" s="206"/>
      <c r="J174" s="125" t="s">
        <v>171</v>
      </c>
      <c r="K174" s="126">
        <v>101.63</v>
      </c>
      <c r="L174" s="207">
        <v>0</v>
      </c>
      <c r="M174" s="206"/>
      <c r="N174" s="208">
        <f>ROUND($L$174*$K$174,2)</f>
        <v>0</v>
      </c>
      <c r="O174" s="206"/>
      <c r="P174" s="206"/>
      <c r="Q174" s="206"/>
      <c r="R174" s="22"/>
      <c r="T174" s="127"/>
      <c r="U174" s="28" t="s">
        <v>42</v>
      </c>
      <c r="V174" s="128">
        <v>0.016</v>
      </c>
      <c r="W174" s="128">
        <f>$V$174*$K$174</f>
        <v>1.62608</v>
      </c>
      <c r="X174" s="128">
        <v>0</v>
      </c>
      <c r="Y174" s="128">
        <f>$X$174*$K$174</f>
        <v>0</v>
      </c>
      <c r="Z174" s="128">
        <v>0</v>
      </c>
      <c r="AA174" s="129">
        <f>$Z$174*$K$174</f>
        <v>0</v>
      </c>
      <c r="AR174" s="6" t="s">
        <v>219</v>
      </c>
      <c r="AT174" s="6" t="s">
        <v>164</v>
      </c>
      <c r="AU174" s="6" t="s">
        <v>141</v>
      </c>
      <c r="AY174" s="6" t="s">
        <v>163</v>
      </c>
      <c r="BE174" s="82">
        <f>IF($U$174="základní",$N$174,0)</f>
        <v>0</v>
      </c>
      <c r="BF174" s="82">
        <f>IF($U$174="snížená",$N$174,0)</f>
        <v>0</v>
      </c>
      <c r="BG174" s="82">
        <f>IF($U$174="zákl. přenesená",$N$174,0)</f>
        <v>0</v>
      </c>
      <c r="BH174" s="82">
        <f>IF($U$174="sníž. přenesená",$N$174,0)</f>
        <v>0</v>
      </c>
      <c r="BI174" s="82">
        <f>IF($U$174="nulová",$N$174,0)</f>
        <v>0</v>
      </c>
      <c r="BJ174" s="6" t="s">
        <v>141</v>
      </c>
      <c r="BK174" s="82">
        <f>ROUND($L$174*$K$174,2)</f>
        <v>0</v>
      </c>
      <c r="BL174" s="6" t="s">
        <v>219</v>
      </c>
    </row>
    <row r="175" spans="2:51" s="6" customFormat="1" ht="15.75" customHeight="1">
      <c r="B175" s="130"/>
      <c r="E175" s="131"/>
      <c r="F175" s="209" t="s">
        <v>396</v>
      </c>
      <c r="G175" s="210"/>
      <c r="H175" s="210"/>
      <c r="I175" s="210"/>
      <c r="K175" s="132">
        <v>98.33</v>
      </c>
      <c r="R175" s="133"/>
      <c r="T175" s="134"/>
      <c r="AA175" s="135"/>
      <c r="AT175" s="131" t="s">
        <v>173</v>
      </c>
      <c r="AU175" s="131" t="s">
        <v>141</v>
      </c>
      <c r="AV175" s="131" t="s">
        <v>141</v>
      </c>
      <c r="AW175" s="131" t="s">
        <v>125</v>
      </c>
      <c r="AX175" s="131" t="s">
        <v>75</v>
      </c>
      <c r="AY175" s="131" t="s">
        <v>163</v>
      </c>
    </row>
    <row r="176" spans="2:51" s="6" customFormat="1" ht="15.75" customHeight="1">
      <c r="B176" s="130"/>
      <c r="E176" s="131"/>
      <c r="F176" s="209" t="s">
        <v>397</v>
      </c>
      <c r="G176" s="210"/>
      <c r="H176" s="210"/>
      <c r="I176" s="210"/>
      <c r="K176" s="132">
        <v>3.3</v>
      </c>
      <c r="R176" s="133"/>
      <c r="T176" s="134"/>
      <c r="AA176" s="135"/>
      <c r="AT176" s="131" t="s">
        <v>173</v>
      </c>
      <c r="AU176" s="131" t="s">
        <v>141</v>
      </c>
      <c r="AV176" s="131" t="s">
        <v>141</v>
      </c>
      <c r="AW176" s="131" t="s">
        <v>125</v>
      </c>
      <c r="AX176" s="131" t="s">
        <v>75</v>
      </c>
      <c r="AY176" s="131" t="s">
        <v>163</v>
      </c>
    </row>
    <row r="177" spans="2:51" s="6" customFormat="1" ht="15.75" customHeight="1">
      <c r="B177" s="141"/>
      <c r="E177" s="142"/>
      <c r="F177" s="215" t="s">
        <v>286</v>
      </c>
      <c r="G177" s="216"/>
      <c r="H177" s="216"/>
      <c r="I177" s="216"/>
      <c r="K177" s="143">
        <v>101.63</v>
      </c>
      <c r="R177" s="144"/>
      <c r="T177" s="145"/>
      <c r="AA177" s="146"/>
      <c r="AT177" s="142" t="s">
        <v>173</v>
      </c>
      <c r="AU177" s="142" t="s">
        <v>141</v>
      </c>
      <c r="AV177" s="142" t="s">
        <v>168</v>
      </c>
      <c r="AW177" s="142" t="s">
        <v>125</v>
      </c>
      <c r="AX177" s="142" t="s">
        <v>17</v>
      </c>
      <c r="AY177" s="142" t="s">
        <v>163</v>
      </c>
    </row>
    <row r="178" spans="2:64" s="6" customFormat="1" ht="27" customHeight="1">
      <c r="B178" s="21"/>
      <c r="C178" s="136" t="s">
        <v>257</v>
      </c>
      <c r="D178" s="136" t="s">
        <v>190</v>
      </c>
      <c r="E178" s="137" t="s">
        <v>302</v>
      </c>
      <c r="F178" s="211" t="s">
        <v>303</v>
      </c>
      <c r="G178" s="212"/>
      <c r="H178" s="212"/>
      <c r="I178" s="212"/>
      <c r="J178" s="138" t="s">
        <v>171</v>
      </c>
      <c r="K178" s="139">
        <v>106.712</v>
      </c>
      <c r="L178" s="213">
        <v>0</v>
      </c>
      <c r="M178" s="212"/>
      <c r="N178" s="214">
        <f>ROUND($L$178*$K$178,2)</f>
        <v>0</v>
      </c>
      <c r="O178" s="206"/>
      <c r="P178" s="206"/>
      <c r="Q178" s="206"/>
      <c r="R178" s="22"/>
      <c r="T178" s="127"/>
      <c r="U178" s="28" t="s">
        <v>42</v>
      </c>
      <c r="V178" s="128">
        <v>0</v>
      </c>
      <c r="W178" s="128">
        <f>$V$178*$K$178</f>
        <v>0</v>
      </c>
      <c r="X178" s="128">
        <v>0</v>
      </c>
      <c r="Y178" s="128">
        <f>$X$178*$K$178</f>
        <v>0</v>
      </c>
      <c r="Z178" s="128">
        <v>0</v>
      </c>
      <c r="AA178" s="129">
        <f>$Z$178*$K$178</f>
        <v>0</v>
      </c>
      <c r="AR178" s="6" t="s">
        <v>263</v>
      </c>
      <c r="AT178" s="6" t="s">
        <v>190</v>
      </c>
      <c r="AU178" s="6" t="s">
        <v>141</v>
      </c>
      <c r="AY178" s="6" t="s">
        <v>163</v>
      </c>
      <c r="BE178" s="82">
        <f>IF($U$178="základní",$N$178,0)</f>
        <v>0</v>
      </c>
      <c r="BF178" s="82">
        <f>IF($U$178="snížená",$N$178,0)</f>
        <v>0</v>
      </c>
      <c r="BG178" s="82">
        <f>IF($U$178="zákl. přenesená",$N$178,0)</f>
        <v>0</v>
      </c>
      <c r="BH178" s="82">
        <f>IF($U$178="sníž. přenesená",$N$178,0)</f>
        <v>0</v>
      </c>
      <c r="BI178" s="82">
        <f>IF($U$178="nulová",$N$178,0)</f>
        <v>0</v>
      </c>
      <c r="BJ178" s="6" t="s">
        <v>141</v>
      </c>
      <c r="BK178" s="82">
        <f>ROUND($L$178*$K$178,2)</f>
        <v>0</v>
      </c>
      <c r="BL178" s="6" t="s">
        <v>219</v>
      </c>
    </row>
    <row r="179" spans="2:64" s="6" customFormat="1" ht="27" customHeight="1">
      <c r="B179" s="21"/>
      <c r="C179" s="123" t="s">
        <v>260</v>
      </c>
      <c r="D179" s="123" t="s">
        <v>164</v>
      </c>
      <c r="E179" s="124" t="s">
        <v>305</v>
      </c>
      <c r="F179" s="205" t="s">
        <v>306</v>
      </c>
      <c r="G179" s="206"/>
      <c r="H179" s="206"/>
      <c r="I179" s="206"/>
      <c r="J179" s="125" t="s">
        <v>171</v>
      </c>
      <c r="K179" s="126">
        <v>710.047</v>
      </c>
      <c r="L179" s="207">
        <v>0</v>
      </c>
      <c r="M179" s="206"/>
      <c r="N179" s="208">
        <f>ROUND($L$179*$K$179,2)</f>
        <v>0</v>
      </c>
      <c r="O179" s="206"/>
      <c r="P179" s="206"/>
      <c r="Q179" s="206"/>
      <c r="R179" s="22"/>
      <c r="T179" s="127"/>
      <c r="U179" s="28" t="s">
        <v>42</v>
      </c>
      <c r="V179" s="128">
        <v>0.033</v>
      </c>
      <c r="W179" s="128">
        <f>$V$179*$K$179</f>
        <v>23.431551000000002</v>
      </c>
      <c r="X179" s="128">
        <v>0.0002</v>
      </c>
      <c r="Y179" s="128">
        <f>$X$179*$K$179</f>
        <v>0.1420094</v>
      </c>
      <c r="Z179" s="128">
        <v>0</v>
      </c>
      <c r="AA179" s="129">
        <f>$Z$179*$K$179</f>
        <v>0</v>
      </c>
      <c r="AR179" s="6" t="s">
        <v>219</v>
      </c>
      <c r="AT179" s="6" t="s">
        <v>164</v>
      </c>
      <c r="AU179" s="6" t="s">
        <v>141</v>
      </c>
      <c r="AY179" s="6" t="s">
        <v>163</v>
      </c>
      <c r="BE179" s="82">
        <f>IF($U$179="základní",$N$179,0)</f>
        <v>0</v>
      </c>
      <c r="BF179" s="82">
        <f>IF($U$179="snížená",$N$179,0)</f>
        <v>0</v>
      </c>
      <c r="BG179" s="82">
        <f>IF($U$179="zákl. přenesená",$N$179,0)</f>
        <v>0</v>
      </c>
      <c r="BH179" s="82">
        <f>IF($U$179="sníž. přenesená",$N$179,0)</f>
        <v>0</v>
      </c>
      <c r="BI179" s="82">
        <f>IF($U$179="nulová",$N$179,0)</f>
        <v>0</v>
      </c>
      <c r="BJ179" s="6" t="s">
        <v>141</v>
      </c>
      <c r="BK179" s="82">
        <f>ROUND($L$179*$K$179,2)</f>
        <v>0</v>
      </c>
      <c r="BL179" s="6" t="s">
        <v>219</v>
      </c>
    </row>
    <row r="180" spans="2:51" s="6" customFormat="1" ht="27" customHeight="1">
      <c r="B180" s="130"/>
      <c r="E180" s="131"/>
      <c r="F180" s="209" t="s">
        <v>398</v>
      </c>
      <c r="G180" s="210"/>
      <c r="H180" s="210"/>
      <c r="I180" s="210"/>
      <c r="K180" s="132">
        <v>593.46</v>
      </c>
      <c r="R180" s="133"/>
      <c r="T180" s="134"/>
      <c r="AA180" s="135"/>
      <c r="AT180" s="131" t="s">
        <v>173</v>
      </c>
      <c r="AU180" s="131" t="s">
        <v>141</v>
      </c>
      <c r="AV180" s="131" t="s">
        <v>141</v>
      </c>
      <c r="AW180" s="131" t="s">
        <v>125</v>
      </c>
      <c r="AX180" s="131" t="s">
        <v>75</v>
      </c>
      <c r="AY180" s="131" t="s">
        <v>163</v>
      </c>
    </row>
    <row r="181" spans="2:51" s="6" customFormat="1" ht="39" customHeight="1">
      <c r="B181" s="130"/>
      <c r="E181" s="131"/>
      <c r="F181" s="209" t="s">
        <v>399</v>
      </c>
      <c r="G181" s="210"/>
      <c r="H181" s="210"/>
      <c r="I181" s="210"/>
      <c r="K181" s="132">
        <v>111.041</v>
      </c>
      <c r="R181" s="133"/>
      <c r="T181" s="134"/>
      <c r="AA181" s="135"/>
      <c r="AT181" s="131" t="s">
        <v>173</v>
      </c>
      <c r="AU181" s="131" t="s">
        <v>141</v>
      </c>
      <c r="AV181" s="131" t="s">
        <v>141</v>
      </c>
      <c r="AW181" s="131" t="s">
        <v>125</v>
      </c>
      <c r="AX181" s="131" t="s">
        <v>75</v>
      </c>
      <c r="AY181" s="131" t="s">
        <v>163</v>
      </c>
    </row>
    <row r="182" spans="2:51" s="6" customFormat="1" ht="15.75" customHeight="1">
      <c r="B182" s="130"/>
      <c r="E182" s="131"/>
      <c r="F182" s="209" t="s">
        <v>400</v>
      </c>
      <c r="G182" s="210"/>
      <c r="H182" s="210"/>
      <c r="I182" s="210"/>
      <c r="K182" s="132">
        <v>5.546</v>
      </c>
      <c r="R182" s="133"/>
      <c r="T182" s="134"/>
      <c r="AA182" s="135"/>
      <c r="AT182" s="131" t="s">
        <v>173</v>
      </c>
      <c r="AU182" s="131" t="s">
        <v>141</v>
      </c>
      <c r="AV182" s="131" t="s">
        <v>141</v>
      </c>
      <c r="AW182" s="131" t="s">
        <v>125</v>
      </c>
      <c r="AX182" s="131" t="s">
        <v>75</v>
      </c>
      <c r="AY182" s="131" t="s">
        <v>163</v>
      </c>
    </row>
    <row r="183" spans="2:51" s="6" customFormat="1" ht="15.75" customHeight="1">
      <c r="B183" s="141"/>
      <c r="E183" s="142"/>
      <c r="F183" s="215" t="s">
        <v>286</v>
      </c>
      <c r="G183" s="216"/>
      <c r="H183" s="216"/>
      <c r="I183" s="216"/>
      <c r="K183" s="143">
        <v>710.047</v>
      </c>
      <c r="R183" s="144"/>
      <c r="T183" s="145"/>
      <c r="AA183" s="146"/>
      <c r="AT183" s="142" t="s">
        <v>173</v>
      </c>
      <c r="AU183" s="142" t="s">
        <v>141</v>
      </c>
      <c r="AV183" s="142" t="s">
        <v>168</v>
      </c>
      <c r="AW183" s="142" t="s">
        <v>125</v>
      </c>
      <c r="AX183" s="142" t="s">
        <v>17</v>
      </c>
      <c r="AY183" s="142" t="s">
        <v>163</v>
      </c>
    </row>
    <row r="184" spans="2:64" s="6" customFormat="1" ht="27" customHeight="1">
      <c r="B184" s="21"/>
      <c r="C184" s="123" t="s">
        <v>264</v>
      </c>
      <c r="D184" s="123" t="s">
        <v>164</v>
      </c>
      <c r="E184" s="124" t="s">
        <v>308</v>
      </c>
      <c r="F184" s="205" t="s">
        <v>309</v>
      </c>
      <c r="G184" s="206"/>
      <c r="H184" s="206"/>
      <c r="I184" s="206"/>
      <c r="J184" s="125" t="s">
        <v>171</v>
      </c>
      <c r="K184" s="126">
        <v>139.596</v>
      </c>
      <c r="L184" s="207">
        <v>0</v>
      </c>
      <c r="M184" s="206"/>
      <c r="N184" s="208">
        <f>ROUND($L$184*$K$184,2)</f>
        <v>0</v>
      </c>
      <c r="O184" s="206"/>
      <c r="P184" s="206"/>
      <c r="Q184" s="206"/>
      <c r="R184" s="22"/>
      <c r="T184" s="127"/>
      <c r="U184" s="28" t="s">
        <v>42</v>
      </c>
      <c r="V184" s="128">
        <v>0.005</v>
      </c>
      <c r="W184" s="128">
        <f>$V$184*$K$184</f>
        <v>0.69798</v>
      </c>
      <c r="X184" s="128">
        <v>1E-05</v>
      </c>
      <c r="Y184" s="128">
        <f>$X$184*$K$184</f>
        <v>0.0013959600000000001</v>
      </c>
      <c r="Z184" s="128">
        <v>0</v>
      </c>
      <c r="AA184" s="129">
        <f>$Z$184*$K$184</f>
        <v>0</v>
      </c>
      <c r="AR184" s="6" t="s">
        <v>219</v>
      </c>
      <c r="AT184" s="6" t="s">
        <v>164</v>
      </c>
      <c r="AU184" s="6" t="s">
        <v>141</v>
      </c>
      <c r="AY184" s="6" t="s">
        <v>163</v>
      </c>
      <c r="BE184" s="82">
        <f>IF($U$184="základní",$N$184,0)</f>
        <v>0</v>
      </c>
      <c r="BF184" s="82">
        <f>IF($U$184="snížená",$N$184,0)</f>
        <v>0</v>
      </c>
      <c r="BG184" s="82">
        <f>IF($U$184="zákl. přenesená",$N$184,0)</f>
        <v>0</v>
      </c>
      <c r="BH184" s="82">
        <f>IF($U$184="sníž. přenesená",$N$184,0)</f>
        <v>0</v>
      </c>
      <c r="BI184" s="82">
        <f>IF($U$184="nulová",$N$184,0)</f>
        <v>0</v>
      </c>
      <c r="BJ184" s="6" t="s">
        <v>141</v>
      </c>
      <c r="BK184" s="82">
        <f>ROUND($L$184*$K$184,2)</f>
        <v>0</v>
      </c>
      <c r="BL184" s="6" t="s">
        <v>219</v>
      </c>
    </row>
    <row r="185" spans="2:64" s="6" customFormat="1" ht="39" customHeight="1">
      <c r="B185" s="21"/>
      <c r="C185" s="123" t="s">
        <v>267</v>
      </c>
      <c r="D185" s="123" t="s">
        <v>164</v>
      </c>
      <c r="E185" s="124" t="s">
        <v>311</v>
      </c>
      <c r="F185" s="205" t="s">
        <v>312</v>
      </c>
      <c r="G185" s="206"/>
      <c r="H185" s="206"/>
      <c r="I185" s="206"/>
      <c r="J185" s="125" t="s">
        <v>171</v>
      </c>
      <c r="K185" s="126">
        <v>710.047</v>
      </c>
      <c r="L185" s="207">
        <v>0</v>
      </c>
      <c r="M185" s="206"/>
      <c r="N185" s="208">
        <f>ROUND($L$185*$K$185,2)</f>
        <v>0</v>
      </c>
      <c r="O185" s="206"/>
      <c r="P185" s="206"/>
      <c r="Q185" s="206"/>
      <c r="R185" s="22"/>
      <c r="T185" s="127"/>
      <c r="U185" s="28" t="s">
        <v>42</v>
      </c>
      <c r="V185" s="128">
        <v>0.053</v>
      </c>
      <c r="W185" s="128">
        <f>$V$185*$K$185</f>
        <v>37.632491</v>
      </c>
      <c r="X185" s="128">
        <v>0.00013</v>
      </c>
      <c r="Y185" s="128">
        <f>$X$185*$K$185</f>
        <v>0.09230611</v>
      </c>
      <c r="Z185" s="128">
        <v>0</v>
      </c>
      <c r="AA185" s="129">
        <f>$Z$185*$K$185</f>
        <v>0</v>
      </c>
      <c r="AR185" s="6" t="s">
        <v>219</v>
      </c>
      <c r="AT185" s="6" t="s">
        <v>164</v>
      </c>
      <c r="AU185" s="6" t="s">
        <v>141</v>
      </c>
      <c r="AY185" s="6" t="s">
        <v>163</v>
      </c>
      <c r="BE185" s="82">
        <f>IF($U$185="základní",$N$185,0)</f>
        <v>0</v>
      </c>
      <c r="BF185" s="82">
        <f>IF($U$185="snížená",$N$185,0)</f>
        <v>0</v>
      </c>
      <c r="BG185" s="82">
        <f>IF($U$185="zákl. přenesená",$N$185,0)</f>
        <v>0</v>
      </c>
      <c r="BH185" s="82">
        <f>IF($U$185="sníž. přenesená",$N$185,0)</f>
        <v>0</v>
      </c>
      <c r="BI185" s="82">
        <f>IF($U$185="nulová",$N$185,0)</f>
        <v>0</v>
      </c>
      <c r="BJ185" s="6" t="s">
        <v>141</v>
      </c>
      <c r="BK185" s="82">
        <f>ROUND($L$185*$K$185,2)</f>
        <v>0</v>
      </c>
      <c r="BL185" s="6" t="s">
        <v>219</v>
      </c>
    </row>
    <row r="186" spans="2:63" s="6" customFormat="1" ht="51" customHeight="1">
      <c r="B186" s="21"/>
      <c r="D186" s="115" t="s">
        <v>313</v>
      </c>
      <c r="N186" s="201">
        <f>$BK$186</f>
        <v>0</v>
      </c>
      <c r="O186" s="161"/>
      <c r="P186" s="161"/>
      <c r="Q186" s="161"/>
      <c r="R186" s="22"/>
      <c r="T186" s="53"/>
      <c r="AA186" s="54"/>
      <c r="AT186" s="6" t="s">
        <v>74</v>
      </c>
      <c r="AU186" s="6" t="s">
        <v>75</v>
      </c>
      <c r="AY186" s="6" t="s">
        <v>314</v>
      </c>
      <c r="BK186" s="82">
        <f>SUM($BK$187:$BK$191)</f>
        <v>0</v>
      </c>
    </row>
    <row r="187" spans="2:63" s="6" customFormat="1" ht="23.25" customHeight="1">
      <c r="B187" s="21"/>
      <c r="C187" s="153"/>
      <c r="D187" s="153" t="s">
        <v>164</v>
      </c>
      <c r="E187" s="154"/>
      <c r="F187" s="219"/>
      <c r="G187" s="220"/>
      <c r="H187" s="220"/>
      <c r="I187" s="220"/>
      <c r="J187" s="155"/>
      <c r="K187" s="140"/>
      <c r="L187" s="207"/>
      <c r="M187" s="206"/>
      <c r="N187" s="208">
        <f>$BK$187</f>
        <v>0</v>
      </c>
      <c r="O187" s="206"/>
      <c r="P187" s="206"/>
      <c r="Q187" s="206"/>
      <c r="R187" s="22"/>
      <c r="T187" s="127"/>
      <c r="U187" s="156" t="s">
        <v>42</v>
      </c>
      <c r="AA187" s="54"/>
      <c r="AT187" s="6" t="s">
        <v>314</v>
      </c>
      <c r="AU187" s="6" t="s">
        <v>17</v>
      </c>
      <c r="AY187" s="6" t="s">
        <v>314</v>
      </c>
      <c r="BE187" s="82">
        <f>IF($U$187="základní",$N$187,0)</f>
        <v>0</v>
      </c>
      <c r="BF187" s="82">
        <f>IF($U$187="snížená",$N$187,0)</f>
        <v>0</v>
      </c>
      <c r="BG187" s="82">
        <f>IF($U$187="zákl. přenesená",$N$187,0)</f>
        <v>0</v>
      </c>
      <c r="BH187" s="82">
        <f>IF($U$187="sníž. přenesená",$N$187,0)</f>
        <v>0</v>
      </c>
      <c r="BI187" s="82">
        <f>IF($U$187="nulová",$N$187,0)</f>
        <v>0</v>
      </c>
      <c r="BJ187" s="6" t="s">
        <v>141</v>
      </c>
      <c r="BK187" s="82">
        <f>$L$187*$K$187</f>
        <v>0</v>
      </c>
    </row>
    <row r="188" spans="2:63" s="6" customFormat="1" ht="23.25" customHeight="1">
      <c r="B188" s="21"/>
      <c r="C188" s="153"/>
      <c r="D188" s="153" t="s">
        <v>164</v>
      </c>
      <c r="E188" s="154"/>
      <c r="F188" s="219"/>
      <c r="G188" s="220"/>
      <c r="H188" s="220"/>
      <c r="I188" s="220"/>
      <c r="J188" s="155"/>
      <c r="K188" s="140"/>
      <c r="L188" s="207"/>
      <c r="M188" s="206"/>
      <c r="N188" s="208">
        <f>$BK$188</f>
        <v>0</v>
      </c>
      <c r="O188" s="206"/>
      <c r="P188" s="206"/>
      <c r="Q188" s="206"/>
      <c r="R188" s="22"/>
      <c r="T188" s="127"/>
      <c r="U188" s="156" t="s">
        <v>42</v>
      </c>
      <c r="AA188" s="54"/>
      <c r="AT188" s="6" t="s">
        <v>314</v>
      </c>
      <c r="AU188" s="6" t="s">
        <v>17</v>
      </c>
      <c r="AY188" s="6" t="s">
        <v>314</v>
      </c>
      <c r="BE188" s="82">
        <f>IF($U$188="základní",$N$188,0)</f>
        <v>0</v>
      </c>
      <c r="BF188" s="82">
        <f>IF($U$188="snížená",$N$188,0)</f>
        <v>0</v>
      </c>
      <c r="BG188" s="82">
        <f>IF($U$188="zákl. přenesená",$N$188,0)</f>
        <v>0</v>
      </c>
      <c r="BH188" s="82">
        <f>IF($U$188="sníž. přenesená",$N$188,0)</f>
        <v>0</v>
      </c>
      <c r="BI188" s="82">
        <f>IF($U$188="nulová",$N$188,0)</f>
        <v>0</v>
      </c>
      <c r="BJ188" s="6" t="s">
        <v>141</v>
      </c>
      <c r="BK188" s="82">
        <f>$L$188*$K$188</f>
        <v>0</v>
      </c>
    </row>
    <row r="189" spans="2:63" s="6" customFormat="1" ht="23.25" customHeight="1">
      <c r="B189" s="21"/>
      <c r="C189" s="153"/>
      <c r="D189" s="153" t="s">
        <v>164</v>
      </c>
      <c r="E189" s="154"/>
      <c r="F189" s="219"/>
      <c r="G189" s="220"/>
      <c r="H189" s="220"/>
      <c r="I189" s="220"/>
      <c r="J189" s="155"/>
      <c r="K189" s="140"/>
      <c r="L189" s="207"/>
      <c r="M189" s="206"/>
      <c r="N189" s="208">
        <f>$BK$189</f>
        <v>0</v>
      </c>
      <c r="O189" s="206"/>
      <c r="P189" s="206"/>
      <c r="Q189" s="206"/>
      <c r="R189" s="22"/>
      <c r="T189" s="127"/>
      <c r="U189" s="156" t="s">
        <v>42</v>
      </c>
      <c r="AA189" s="54"/>
      <c r="AT189" s="6" t="s">
        <v>314</v>
      </c>
      <c r="AU189" s="6" t="s">
        <v>17</v>
      </c>
      <c r="AY189" s="6" t="s">
        <v>314</v>
      </c>
      <c r="BE189" s="82">
        <f>IF($U$189="základní",$N$189,0)</f>
        <v>0</v>
      </c>
      <c r="BF189" s="82">
        <f>IF($U$189="snížená",$N$189,0)</f>
        <v>0</v>
      </c>
      <c r="BG189" s="82">
        <f>IF($U$189="zákl. přenesená",$N$189,0)</f>
        <v>0</v>
      </c>
      <c r="BH189" s="82">
        <f>IF($U$189="sníž. přenesená",$N$189,0)</f>
        <v>0</v>
      </c>
      <c r="BI189" s="82">
        <f>IF($U$189="nulová",$N$189,0)</f>
        <v>0</v>
      </c>
      <c r="BJ189" s="6" t="s">
        <v>141</v>
      </c>
      <c r="BK189" s="82">
        <f>$L$189*$K$189</f>
        <v>0</v>
      </c>
    </row>
    <row r="190" spans="2:63" s="6" customFormat="1" ht="23.25" customHeight="1">
      <c r="B190" s="21"/>
      <c r="C190" s="153"/>
      <c r="D190" s="153" t="s">
        <v>164</v>
      </c>
      <c r="E190" s="154"/>
      <c r="F190" s="219"/>
      <c r="G190" s="220"/>
      <c r="H190" s="220"/>
      <c r="I190" s="220"/>
      <c r="J190" s="155"/>
      <c r="K190" s="140"/>
      <c r="L190" s="207"/>
      <c r="M190" s="206"/>
      <c r="N190" s="208">
        <f>$BK$190</f>
        <v>0</v>
      </c>
      <c r="O190" s="206"/>
      <c r="P190" s="206"/>
      <c r="Q190" s="206"/>
      <c r="R190" s="22"/>
      <c r="T190" s="127"/>
      <c r="U190" s="156" t="s">
        <v>42</v>
      </c>
      <c r="AA190" s="54"/>
      <c r="AT190" s="6" t="s">
        <v>314</v>
      </c>
      <c r="AU190" s="6" t="s">
        <v>17</v>
      </c>
      <c r="AY190" s="6" t="s">
        <v>314</v>
      </c>
      <c r="BE190" s="82">
        <f>IF($U$190="základní",$N$190,0)</f>
        <v>0</v>
      </c>
      <c r="BF190" s="82">
        <f>IF($U$190="snížená",$N$190,0)</f>
        <v>0</v>
      </c>
      <c r="BG190" s="82">
        <f>IF($U$190="zákl. přenesená",$N$190,0)</f>
        <v>0</v>
      </c>
      <c r="BH190" s="82">
        <f>IF($U$190="sníž. přenesená",$N$190,0)</f>
        <v>0</v>
      </c>
      <c r="BI190" s="82">
        <f>IF($U$190="nulová",$N$190,0)</f>
        <v>0</v>
      </c>
      <c r="BJ190" s="6" t="s">
        <v>141</v>
      </c>
      <c r="BK190" s="82">
        <f>$L$190*$K$190</f>
        <v>0</v>
      </c>
    </row>
    <row r="191" spans="2:63" s="6" customFormat="1" ht="23.25" customHeight="1">
      <c r="B191" s="21"/>
      <c r="C191" s="153"/>
      <c r="D191" s="153" t="s">
        <v>164</v>
      </c>
      <c r="E191" s="154"/>
      <c r="F191" s="219"/>
      <c r="G191" s="220"/>
      <c r="H191" s="220"/>
      <c r="I191" s="220"/>
      <c r="J191" s="155"/>
      <c r="K191" s="140"/>
      <c r="L191" s="207"/>
      <c r="M191" s="206"/>
      <c r="N191" s="208">
        <f>$BK$191</f>
        <v>0</v>
      </c>
      <c r="O191" s="206"/>
      <c r="P191" s="206"/>
      <c r="Q191" s="206"/>
      <c r="R191" s="22"/>
      <c r="T191" s="127"/>
      <c r="U191" s="156" t="s">
        <v>42</v>
      </c>
      <c r="V191" s="40"/>
      <c r="W191" s="40"/>
      <c r="X191" s="40"/>
      <c r="Y191" s="40"/>
      <c r="Z191" s="40"/>
      <c r="AA191" s="42"/>
      <c r="AT191" s="6" t="s">
        <v>314</v>
      </c>
      <c r="AU191" s="6" t="s">
        <v>17</v>
      </c>
      <c r="AY191" s="6" t="s">
        <v>314</v>
      </c>
      <c r="BE191" s="82">
        <f>IF($U$191="základní",$N$191,0)</f>
        <v>0</v>
      </c>
      <c r="BF191" s="82">
        <f>IF($U$191="snížená",$N$191,0)</f>
        <v>0</v>
      </c>
      <c r="BG191" s="82">
        <f>IF($U$191="zákl. přenesená",$N$191,0)</f>
        <v>0</v>
      </c>
      <c r="BH191" s="82">
        <f>IF($U$191="sníž. přenesená",$N$191,0)</f>
        <v>0</v>
      </c>
      <c r="BI191" s="82">
        <f>IF($U$191="nulová",$N$191,0)</f>
        <v>0</v>
      </c>
      <c r="BJ191" s="6" t="s">
        <v>141</v>
      </c>
      <c r="BK191" s="82">
        <f>$L$191*$K$191</f>
        <v>0</v>
      </c>
    </row>
    <row r="192" spans="2:18" s="6" customFormat="1" ht="7.5" customHeight="1">
      <c r="B192" s="43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5"/>
    </row>
    <row r="215" s="2" customFormat="1" ht="14.25" customHeight="1"/>
  </sheetData>
  <sheetProtection/>
  <mergeCells count="210">
    <mergeCell ref="N164:Q164"/>
    <mergeCell ref="N170:Q170"/>
    <mergeCell ref="N186:Q186"/>
    <mergeCell ref="H1:K1"/>
    <mergeCell ref="S2:AC2"/>
    <mergeCell ref="F191:I191"/>
    <mergeCell ref="L191:M191"/>
    <mergeCell ref="N191:Q191"/>
    <mergeCell ref="N125:Q125"/>
    <mergeCell ref="N126:Q126"/>
    <mergeCell ref="N127:Q127"/>
    <mergeCell ref="N133:Q133"/>
    <mergeCell ref="N141:Q141"/>
    <mergeCell ref="N147:Q147"/>
    <mergeCell ref="N154:Q154"/>
    <mergeCell ref="F189:I189"/>
    <mergeCell ref="L189:M189"/>
    <mergeCell ref="N189:Q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F183:I183"/>
    <mergeCell ref="F184:I184"/>
    <mergeCell ref="L184:M184"/>
    <mergeCell ref="N184:Q184"/>
    <mergeCell ref="F185:I185"/>
    <mergeCell ref="L185:M185"/>
    <mergeCell ref="N185:Q185"/>
    <mergeCell ref="F179:I179"/>
    <mergeCell ref="L179:M179"/>
    <mergeCell ref="N179:Q179"/>
    <mergeCell ref="F180:I180"/>
    <mergeCell ref="F181:I181"/>
    <mergeCell ref="F182:I182"/>
    <mergeCell ref="F175:I175"/>
    <mergeCell ref="F176:I176"/>
    <mergeCell ref="F177:I177"/>
    <mergeCell ref="F178:I178"/>
    <mergeCell ref="L178:M178"/>
    <mergeCell ref="N178:Q178"/>
    <mergeCell ref="F171:I171"/>
    <mergeCell ref="L171:M171"/>
    <mergeCell ref="N171:Q171"/>
    <mergeCell ref="F172:I172"/>
    <mergeCell ref="F173:I173"/>
    <mergeCell ref="F174:I174"/>
    <mergeCell ref="L174:M174"/>
    <mergeCell ref="N174:Q174"/>
    <mergeCell ref="F168:I168"/>
    <mergeCell ref="L168:M168"/>
    <mergeCell ref="N168:Q168"/>
    <mergeCell ref="F169:I169"/>
    <mergeCell ref="L169:M169"/>
    <mergeCell ref="N169:Q169"/>
    <mergeCell ref="F165:I165"/>
    <mergeCell ref="L165:M165"/>
    <mergeCell ref="N165:Q165"/>
    <mergeCell ref="F166:I166"/>
    <mergeCell ref="F167:I167"/>
    <mergeCell ref="L167:M167"/>
    <mergeCell ref="N167:Q167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7:I157"/>
    <mergeCell ref="F158:I158"/>
    <mergeCell ref="L158:M158"/>
    <mergeCell ref="N158:Q158"/>
    <mergeCell ref="F159:I159"/>
    <mergeCell ref="L159:M159"/>
    <mergeCell ref="N159:Q159"/>
    <mergeCell ref="F153:I153"/>
    <mergeCell ref="L153:M153"/>
    <mergeCell ref="N153:Q153"/>
    <mergeCell ref="F156:I156"/>
    <mergeCell ref="L156:M156"/>
    <mergeCell ref="N156:Q156"/>
    <mergeCell ref="N155:Q155"/>
    <mergeCell ref="F150:I150"/>
    <mergeCell ref="L150:M150"/>
    <mergeCell ref="N150:Q150"/>
    <mergeCell ref="F151:I151"/>
    <mergeCell ref="F152:I152"/>
    <mergeCell ref="L152:M152"/>
    <mergeCell ref="N152:Q152"/>
    <mergeCell ref="F146:I146"/>
    <mergeCell ref="F148:I148"/>
    <mergeCell ref="L148:M148"/>
    <mergeCell ref="N148:Q148"/>
    <mergeCell ref="F149:I149"/>
    <mergeCell ref="L149:M149"/>
    <mergeCell ref="N149:Q149"/>
    <mergeCell ref="F142:I142"/>
    <mergeCell ref="L142:M142"/>
    <mergeCell ref="N142:Q142"/>
    <mergeCell ref="F143:I143"/>
    <mergeCell ref="F144:I144"/>
    <mergeCell ref="F145:I145"/>
    <mergeCell ref="F139:I139"/>
    <mergeCell ref="L139:M139"/>
    <mergeCell ref="N139:Q139"/>
    <mergeCell ref="F140:I140"/>
    <mergeCell ref="L140:M140"/>
    <mergeCell ref="N140:Q140"/>
    <mergeCell ref="F135:I135"/>
    <mergeCell ref="F136:I136"/>
    <mergeCell ref="L136:M136"/>
    <mergeCell ref="N136:Q136"/>
    <mergeCell ref="F137:I137"/>
    <mergeCell ref="F138:I138"/>
    <mergeCell ref="L138:M138"/>
    <mergeCell ref="N138:Q138"/>
    <mergeCell ref="F130:I130"/>
    <mergeCell ref="F131:I131"/>
    <mergeCell ref="L131:M131"/>
    <mergeCell ref="N131:Q131"/>
    <mergeCell ref="F132:I132"/>
    <mergeCell ref="F134:I134"/>
    <mergeCell ref="L134:M134"/>
    <mergeCell ref="N134:Q134"/>
    <mergeCell ref="F128:I128"/>
    <mergeCell ref="L128:M128"/>
    <mergeCell ref="N128:Q128"/>
    <mergeCell ref="F129:I129"/>
    <mergeCell ref="L129:M129"/>
    <mergeCell ref="N129:Q129"/>
    <mergeCell ref="F117:P117"/>
    <mergeCell ref="M119:P119"/>
    <mergeCell ref="M121:Q121"/>
    <mergeCell ref="M122:Q122"/>
    <mergeCell ref="F124:I124"/>
    <mergeCell ref="L124:M124"/>
    <mergeCell ref="N124:Q124"/>
    <mergeCell ref="D105:H105"/>
    <mergeCell ref="N105:Q105"/>
    <mergeCell ref="N106:Q106"/>
    <mergeCell ref="L108:Q108"/>
    <mergeCell ref="C114:Q114"/>
    <mergeCell ref="F116:P116"/>
    <mergeCell ref="D102:H102"/>
    <mergeCell ref="N102:Q102"/>
    <mergeCell ref="D103:H103"/>
    <mergeCell ref="N103:Q103"/>
    <mergeCell ref="D104:H104"/>
    <mergeCell ref="N104:Q104"/>
    <mergeCell ref="N95:Q95"/>
    <mergeCell ref="N96:Q96"/>
    <mergeCell ref="N97:Q97"/>
    <mergeCell ref="N98:Q98"/>
    <mergeCell ref="N100:Q100"/>
    <mergeCell ref="D101:H101"/>
    <mergeCell ref="N101:Q101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187:D192">
      <formula1>"K,M"</formula1>
    </dataValidation>
    <dataValidation type="list" allowBlank="1" showInputMessage="1" showErrorMessage="1" error="Povoleny jsou hodnoty základní, snížená, zákl. přenesená, sníž. přenesená, nulová." sqref="U187:U192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4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29"/>
      <c r="B1" s="226"/>
      <c r="C1" s="226"/>
      <c r="D1" s="227" t="s">
        <v>1</v>
      </c>
      <c r="E1" s="226"/>
      <c r="F1" s="228" t="s">
        <v>431</v>
      </c>
      <c r="G1" s="228"/>
      <c r="H1" s="230" t="s">
        <v>432</v>
      </c>
      <c r="I1" s="230"/>
      <c r="J1" s="230"/>
      <c r="K1" s="230"/>
      <c r="L1" s="228" t="s">
        <v>433</v>
      </c>
      <c r="M1" s="226"/>
      <c r="N1" s="226"/>
      <c r="O1" s="227" t="s">
        <v>116</v>
      </c>
      <c r="P1" s="226"/>
      <c r="Q1" s="226"/>
      <c r="R1" s="226"/>
      <c r="S1" s="228" t="s">
        <v>434</v>
      </c>
      <c r="T1" s="228"/>
      <c r="U1" s="229"/>
      <c r="V1" s="22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7" t="s">
        <v>4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91" t="s">
        <v>5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2" t="s">
        <v>94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17</v>
      </c>
    </row>
    <row r="4" spans="2:46" s="2" customFormat="1" ht="37.5" customHeight="1">
      <c r="B4" s="10"/>
      <c r="C4" s="159" t="s">
        <v>117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14</v>
      </c>
      <c r="F6" s="192" t="str">
        <f>'Rekapitulace stavby'!$K$6</f>
        <v>1327 - Stavební úpravy stávajícího objektu - rozdělení sklepních kójí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R6" s="11"/>
    </row>
    <row r="7" spans="2:18" s="6" customFormat="1" ht="18.75" customHeight="1">
      <c r="B7" s="21"/>
      <c r="D7" s="14" t="s">
        <v>118</v>
      </c>
      <c r="F7" s="163" t="s">
        <v>401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  <c r="R7" s="22"/>
    </row>
    <row r="8" spans="2:18" s="6" customFormat="1" ht="7.5" customHeight="1">
      <c r="B8" s="21"/>
      <c r="R8" s="22"/>
    </row>
    <row r="9" spans="2:18" s="6" customFormat="1" ht="15" customHeight="1">
      <c r="B9" s="21"/>
      <c r="D9" s="15" t="s">
        <v>18</v>
      </c>
      <c r="F9" s="16" t="s">
        <v>19</v>
      </c>
      <c r="M9" s="15" t="s">
        <v>20</v>
      </c>
      <c r="O9" s="193" t="str">
        <f>'Rekapitulace stavby'!$AN$8</f>
        <v>08.07.2013</v>
      </c>
      <c r="P9" s="161"/>
      <c r="R9" s="22"/>
    </row>
    <row r="10" spans="2:18" s="6" customFormat="1" ht="7.5" customHeight="1">
      <c r="B10" s="21"/>
      <c r="R10" s="22"/>
    </row>
    <row r="11" spans="2:18" s="6" customFormat="1" ht="15" customHeight="1">
      <c r="B11" s="21"/>
      <c r="D11" s="15" t="s">
        <v>24</v>
      </c>
      <c r="M11" s="15" t="s">
        <v>25</v>
      </c>
      <c r="O11" s="174"/>
      <c r="P11" s="161"/>
      <c r="R11" s="22"/>
    </row>
    <row r="12" spans="2:18" s="6" customFormat="1" ht="18.75" customHeight="1">
      <c r="B12" s="21"/>
      <c r="E12" s="16" t="s">
        <v>26</v>
      </c>
      <c r="M12" s="15" t="s">
        <v>27</v>
      </c>
      <c r="O12" s="174"/>
      <c r="P12" s="161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5" t="s">
        <v>28</v>
      </c>
      <c r="M14" s="15" t="s">
        <v>25</v>
      </c>
      <c r="O14" s="194" t="str">
        <f>IF('Rekapitulace stavby'!$AN$13="","",'Rekapitulace stavby'!$AN$13)</f>
        <v>Vyplň údaj</v>
      </c>
      <c r="P14" s="161"/>
      <c r="R14" s="22"/>
    </row>
    <row r="15" spans="2:18" s="6" customFormat="1" ht="18.75" customHeight="1">
      <c r="B15" s="21"/>
      <c r="E15" s="194" t="str">
        <f>IF('Rekapitulace stavby'!$E$14="","",'Rekapitulace stavby'!$E$14)</f>
        <v>Vyplň údaj</v>
      </c>
      <c r="F15" s="161"/>
      <c r="G15" s="161"/>
      <c r="H15" s="161"/>
      <c r="I15" s="161"/>
      <c r="J15" s="161"/>
      <c r="K15" s="161"/>
      <c r="L15" s="161"/>
      <c r="M15" s="15" t="s">
        <v>27</v>
      </c>
      <c r="O15" s="194" t="str">
        <f>IF('Rekapitulace stavby'!$AN$14="","",'Rekapitulace stavby'!$AN$14)</f>
        <v>Vyplň údaj</v>
      </c>
      <c r="P15" s="161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5" t="s">
        <v>30</v>
      </c>
      <c r="M17" s="15" t="s">
        <v>25</v>
      </c>
      <c r="O17" s="174"/>
      <c r="P17" s="161"/>
      <c r="R17" s="22"/>
    </row>
    <row r="18" spans="2:18" s="6" customFormat="1" ht="18.75" customHeight="1">
      <c r="B18" s="21"/>
      <c r="E18" s="16" t="s">
        <v>31</v>
      </c>
      <c r="M18" s="15" t="s">
        <v>27</v>
      </c>
      <c r="O18" s="174"/>
      <c r="P18" s="161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5" t="s">
        <v>33</v>
      </c>
      <c r="M20" s="15" t="s">
        <v>25</v>
      </c>
      <c r="O20" s="174" t="s">
        <v>34</v>
      </c>
      <c r="P20" s="161"/>
      <c r="R20" s="22"/>
    </row>
    <row r="21" spans="2:18" s="6" customFormat="1" ht="18.75" customHeight="1">
      <c r="B21" s="21"/>
      <c r="E21" s="16" t="s">
        <v>31</v>
      </c>
      <c r="M21" s="15" t="s">
        <v>27</v>
      </c>
      <c r="O21" s="174" t="s">
        <v>35</v>
      </c>
      <c r="P21" s="161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R23" s="22"/>
    </row>
    <row r="24" spans="2:18" s="6" customFormat="1" ht="15" customHeight="1">
      <c r="B24" s="21"/>
      <c r="D24" s="90" t="s">
        <v>120</v>
      </c>
      <c r="M24" s="165">
        <f>$N$88</f>
        <v>0</v>
      </c>
      <c r="N24" s="161"/>
      <c r="O24" s="161"/>
      <c r="P24" s="161"/>
      <c r="R24" s="22"/>
    </row>
    <row r="25" spans="2:18" s="6" customFormat="1" ht="15" customHeight="1">
      <c r="B25" s="21"/>
      <c r="D25" s="20" t="s">
        <v>108</v>
      </c>
      <c r="M25" s="165">
        <f>$N$100</f>
        <v>0</v>
      </c>
      <c r="N25" s="161"/>
      <c r="O25" s="161"/>
      <c r="P25" s="161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91" t="s">
        <v>38</v>
      </c>
      <c r="M27" s="195">
        <f>ROUNDUP($M$24+$M$25,2)</f>
        <v>0</v>
      </c>
      <c r="N27" s="161"/>
      <c r="O27" s="161"/>
      <c r="P27" s="161"/>
      <c r="R27" s="22"/>
    </row>
    <row r="28" spans="2:18" s="6" customFormat="1" ht="7.5" customHeight="1">
      <c r="B28" s="2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R28" s="22"/>
    </row>
    <row r="29" spans="2:18" s="6" customFormat="1" ht="15" customHeight="1">
      <c r="B29" s="21"/>
      <c r="D29" s="26" t="s">
        <v>39</v>
      </c>
      <c r="E29" s="26" t="s">
        <v>40</v>
      </c>
      <c r="F29" s="27">
        <v>0.21</v>
      </c>
      <c r="G29" s="92" t="s">
        <v>41</v>
      </c>
      <c r="H29" s="196">
        <f>ROUNDUP((((SUM($BE$100:$BE$107)+SUM($BE$125:$BE$180))+SUM($BE$182:$BE$186))),2)</f>
        <v>0</v>
      </c>
      <c r="I29" s="161"/>
      <c r="J29" s="161"/>
      <c r="M29" s="196">
        <f>ROUNDUP((((SUM($BE$100:$BE$107)+SUM($BE$125:$BE$180))*$F$29)+SUM($BE$182:$BE$186)*$F$29),1)</f>
        <v>0</v>
      </c>
      <c r="N29" s="161"/>
      <c r="O29" s="161"/>
      <c r="P29" s="161"/>
      <c r="R29" s="22"/>
    </row>
    <row r="30" spans="2:18" s="6" customFormat="1" ht="15" customHeight="1">
      <c r="B30" s="21"/>
      <c r="E30" s="26" t="s">
        <v>42</v>
      </c>
      <c r="F30" s="27">
        <v>0.15</v>
      </c>
      <c r="G30" s="92" t="s">
        <v>41</v>
      </c>
      <c r="H30" s="196">
        <f>ROUNDUP((((SUM($BF$100:$BF$107)+SUM($BF$125:$BF$180))+SUM($BF$182:$BF$186))),2)</f>
        <v>0</v>
      </c>
      <c r="I30" s="161"/>
      <c r="J30" s="161"/>
      <c r="M30" s="196">
        <f>ROUNDUP((((SUM($BF$100:$BF$107)+SUM($BF$125:$BF$180))*$F$30)+SUM($BF$182:$BF$186)*$F$30),1)</f>
        <v>0</v>
      </c>
      <c r="N30" s="161"/>
      <c r="O30" s="161"/>
      <c r="P30" s="161"/>
      <c r="R30" s="22"/>
    </row>
    <row r="31" spans="2:18" s="6" customFormat="1" ht="15" customHeight="1" hidden="1">
      <c r="B31" s="21"/>
      <c r="E31" s="26" t="s">
        <v>43</v>
      </c>
      <c r="F31" s="27">
        <v>0.21</v>
      </c>
      <c r="G31" s="92" t="s">
        <v>41</v>
      </c>
      <c r="H31" s="196">
        <f>ROUNDUP((((SUM($BG$100:$BG$107)+SUM($BG$125:$BG$180))+SUM($BG$182:$BG$186))),2)</f>
        <v>0</v>
      </c>
      <c r="I31" s="161"/>
      <c r="J31" s="161"/>
      <c r="M31" s="196">
        <v>0</v>
      </c>
      <c r="N31" s="161"/>
      <c r="O31" s="161"/>
      <c r="P31" s="161"/>
      <c r="R31" s="22"/>
    </row>
    <row r="32" spans="2:18" s="6" customFormat="1" ht="15" customHeight="1" hidden="1">
      <c r="B32" s="21"/>
      <c r="E32" s="26" t="s">
        <v>44</v>
      </c>
      <c r="F32" s="27">
        <v>0.15</v>
      </c>
      <c r="G32" s="92" t="s">
        <v>41</v>
      </c>
      <c r="H32" s="196">
        <f>ROUNDUP((((SUM($BH$100:$BH$107)+SUM($BH$125:$BH$180))+SUM($BH$182:$BH$186))),2)</f>
        <v>0</v>
      </c>
      <c r="I32" s="161"/>
      <c r="J32" s="161"/>
      <c r="M32" s="196">
        <v>0</v>
      </c>
      <c r="N32" s="161"/>
      <c r="O32" s="161"/>
      <c r="P32" s="161"/>
      <c r="R32" s="22"/>
    </row>
    <row r="33" spans="2:18" s="6" customFormat="1" ht="15" customHeight="1" hidden="1">
      <c r="B33" s="21"/>
      <c r="E33" s="26" t="s">
        <v>45</v>
      </c>
      <c r="F33" s="27">
        <v>0</v>
      </c>
      <c r="G33" s="92" t="s">
        <v>41</v>
      </c>
      <c r="H33" s="196">
        <f>ROUNDUP((((SUM($BI$100:$BI$107)+SUM($BI$125:$BI$180))+SUM($BI$182:$BI$186))),2)</f>
        <v>0</v>
      </c>
      <c r="I33" s="161"/>
      <c r="J33" s="161"/>
      <c r="M33" s="196">
        <v>0</v>
      </c>
      <c r="N33" s="161"/>
      <c r="O33" s="161"/>
      <c r="P33" s="161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30"/>
      <c r="D35" s="31" t="s">
        <v>46</v>
      </c>
      <c r="E35" s="32"/>
      <c r="F35" s="32"/>
      <c r="G35" s="93" t="s">
        <v>47</v>
      </c>
      <c r="H35" s="33" t="s">
        <v>48</v>
      </c>
      <c r="I35" s="32"/>
      <c r="J35" s="32"/>
      <c r="K35" s="32"/>
      <c r="L35" s="172">
        <f>ROUNDUP(SUM($M$27:$M$33),2)</f>
        <v>0</v>
      </c>
      <c r="M35" s="171"/>
      <c r="N35" s="171"/>
      <c r="O35" s="171"/>
      <c r="P35" s="173"/>
      <c r="Q35" s="30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4" t="s">
        <v>49</v>
      </c>
      <c r="E50" s="35"/>
      <c r="F50" s="35"/>
      <c r="G50" s="35"/>
      <c r="H50" s="36"/>
      <c r="J50" s="34" t="s">
        <v>50</v>
      </c>
      <c r="K50" s="35"/>
      <c r="L50" s="35"/>
      <c r="M50" s="35"/>
      <c r="N50" s="35"/>
      <c r="O50" s="35"/>
      <c r="P50" s="36"/>
      <c r="R50" s="22"/>
    </row>
    <row r="51" spans="2:18" s="2" customFormat="1" ht="14.25" customHeight="1">
      <c r="B51" s="10"/>
      <c r="D51" s="37"/>
      <c r="H51" s="38"/>
      <c r="J51" s="37"/>
      <c r="P51" s="38"/>
      <c r="R51" s="11"/>
    </row>
    <row r="52" spans="2:18" s="2" customFormat="1" ht="14.25" customHeight="1">
      <c r="B52" s="10"/>
      <c r="D52" s="37"/>
      <c r="H52" s="38"/>
      <c r="J52" s="37"/>
      <c r="P52" s="38"/>
      <c r="R52" s="11"/>
    </row>
    <row r="53" spans="2:18" s="2" customFormat="1" ht="14.25" customHeight="1">
      <c r="B53" s="10"/>
      <c r="D53" s="37"/>
      <c r="H53" s="38"/>
      <c r="J53" s="37"/>
      <c r="P53" s="38"/>
      <c r="R53" s="11"/>
    </row>
    <row r="54" spans="2:18" s="2" customFormat="1" ht="14.25" customHeight="1">
      <c r="B54" s="10"/>
      <c r="D54" s="37"/>
      <c r="H54" s="38"/>
      <c r="J54" s="37"/>
      <c r="P54" s="38"/>
      <c r="R54" s="11"/>
    </row>
    <row r="55" spans="2:18" s="2" customFormat="1" ht="14.25" customHeight="1">
      <c r="B55" s="10"/>
      <c r="D55" s="37"/>
      <c r="H55" s="38"/>
      <c r="J55" s="37"/>
      <c r="P55" s="38"/>
      <c r="R55" s="11"/>
    </row>
    <row r="56" spans="2:18" s="2" customFormat="1" ht="14.25" customHeight="1">
      <c r="B56" s="10"/>
      <c r="D56" s="37"/>
      <c r="H56" s="38"/>
      <c r="J56" s="37"/>
      <c r="P56" s="38"/>
      <c r="R56" s="11"/>
    </row>
    <row r="57" spans="2:18" s="2" customFormat="1" ht="14.25" customHeight="1">
      <c r="B57" s="10"/>
      <c r="D57" s="37"/>
      <c r="H57" s="38"/>
      <c r="J57" s="37"/>
      <c r="P57" s="38"/>
      <c r="R57" s="11"/>
    </row>
    <row r="58" spans="2:18" s="2" customFormat="1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1"/>
      <c r="D59" s="39" t="s">
        <v>51</v>
      </c>
      <c r="E59" s="40"/>
      <c r="F59" s="40"/>
      <c r="G59" s="41" t="s">
        <v>52</v>
      </c>
      <c r="H59" s="42"/>
      <c r="J59" s="39" t="s">
        <v>51</v>
      </c>
      <c r="K59" s="40"/>
      <c r="L59" s="40"/>
      <c r="M59" s="40"/>
      <c r="N59" s="41" t="s">
        <v>52</v>
      </c>
      <c r="O59" s="40"/>
      <c r="P59" s="42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4" t="s">
        <v>53</v>
      </c>
      <c r="E61" s="35"/>
      <c r="F61" s="35"/>
      <c r="G61" s="35"/>
      <c r="H61" s="36"/>
      <c r="J61" s="34" t="s">
        <v>54</v>
      </c>
      <c r="K61" s="35"/>
      <c r="L61" s="35"/>
      <c r="M61" s="35"/>
      <c r="N61" s="35"/>
      <c r="O61" s="35"/>
      <c r="P61" s="36"/>
      <c r="R61" s="22"/>
    </row>
    <row r="62" spans="2:18" s="2" customFormat="1" ht="14.25" customHeight="1">
      <c r="B62" s="10"/>
      <c r="D62" s="37"/>
      <c r="H62" s="38"/>
      <c r="J62" s="37"/>
      <c r="P62" s="38"/>
      <c r="R62" s="11"/>
    </row>
    <row r="63" spans="2:18" s="2" customFormat="1" ht="14.25" customHeight="1">
      <c r="B63" s="10"/>
      <c r="D63" s="37"/>
      <c r="H63" s="38"/>
      <c r="J63" s="37"/>
      <c r="P63" s="38"/>
      <c r="R63" s="11"/>
    </row>
    <row r="64" spans="2:18" s="2" customFormat="1" ht="14.25" customHeight="1">
      <c r="B64" s="10"/>
      <c r="D64" s="37"/>
      <c r="H64" s="38"/>
      <c r="J64" s="37"/>
      <c r="P64" s="38"/>
      <c r="R64" s="11"/>
    </row>
    <row r="65" spans="2:18" s="2" customFormat="1" ht="14.25" customHeight="1">
      <c r="B65" s="10"/>
      <c r="D65" s="37"/>
      <c r="H65" s="38"/>
      <c r="J65" s="37"/>
      <c r="P65" s="38"/>
      <c r="R65" s="11"/>
    </row>
    <row r="66" spans="2:18" s="2" customFormat="1" ht="14.25" customHeight="1">
      <c r="B66" s="10"/>
      <c r="D66" s="37"/>
      <c r="H66" s="38"/>
      <c r="J66" s="37"/>
      <c r="P66" s="38"/>
      <c r="R66" s="11"/>
    </row>
    <row r="67" spans="2:18" s="2" customFormat="1" ht="14.25" customHeight="1">
      <c r="B67" s="10"/>
      <c r="D67" s="37"/>
      <c r="H67" s="38"/>
      <c r="J67" s="37"/>
      <c r="P67" s="38"/>
      <c r="R67" s="11"/>
    </row>
    <row r="68" spans="2:18" s="2" customFormat="1" ht="14.25" customHeight="1">
      <c r="B68" s="10"/>
      <c r="D68" s="37"/>
      <c r="H68" s="38"/>
      <c r="J68" s="37"/>
      <c r="P68" s="38"/>
      <c r="R68" s="11"/>
    </row>
    <row r="69" spans="2:18" s="2" customFormat="1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1"/>
      <c r="D70" s="39" t="s">
        <v>51</v>
      </c>
      <c r="E70" s="40"/>
      <c r="F70" s="40"/>
      <c r="G70" s="41" t="s">
        <v>52</v>
      </c>
      <c r="H70" s="42"/>
      <c r="J70" s="39" t="s">
        <v>51</v>
      </c>
      <c r="K70" s="40"/>
      <c r="L70" s="40"/>
      <c r="M70" s="40"/>
      <c r="N70" s="41" t="s">
        <v>52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59" t="s">
        <v>121</v>
      </c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22"/>
    </row>
    <row r="77" spans="2:18" s="6" customFormat="1" ht="7.5" customHeight="1">
      <c r="B77" s="21"/>
      <c r="R77" s="22"/>
    </row>
    <row r="78" spans="2:18" s="6" customFormat="1" ht="15" customHeight="1">
      <c r="B78" s="21"/>
      <c r="C78" s="15" t="s">
        <v>14</v>
      </c>
      <c r="F78" s="192" t="str">
        <f>$F$6</f>
        <v>1327 - Stavební úpravy stávajícího objektu - rozdělení sklepních kójí</v>
      </c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R78" s="22"/>
    </row>
    <row r="79" spans="2:18" s="6" customFormat="1" ht="15" customHeight="1">
      <c r="B79" s="21"/>
      <c r="C79" s="14" t="s">
        <v>118</v>
      </c>
      <c r="F79" s="163" t="str">
        <f>$F$7</f>
        <v>1327 f - Sklepní kóje čp. 636</v>
      </c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5" t="s">
        <v>18</v>
      </c>
      <c r="F81" s="16" t="str">
        <f>$F$9</f>
        <v>Kolín II, Benešova čp. 636 - 641</v>
      </c>
      <c r="K81" s="15" t="s">
        <v>20</v>
      </c>
      <c r="M81" s="197" t="str">
        <f>IF($O$9="","",$O$9)</f>
        <v>08.07.2013</v>
      </c>
      <c r="N81" s="161"/>
      <c r="O81" s="161"/>
      <c r="P81" s="161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5" t="s">
        <v>24</v>
      </c>
      <c r="F83" s="16" t="str">
        <f>$E$12</f>
        <v>Město Kolín, Karlovo náměstí 78, 280 02 Kolín 1</v>
      </c>
      <c r="K83" s="15" t="s">
        <v>30</v>
      </c>
      <c r="M83" s="174" t="str">
        <f>$E$18</f>
        <v>Ing. Karel Vrátný, Rubešova 60, 280 02 Kolín</v>
      </c>
      <c r="N83" s="161"/>
      <c r="O83" s="161"/>
      <c r="P83" s="161"/>
      <c r="Q83" s="161"/>
      <c r="R83" s="22"/>
    </row>
    <row r="84" spans="2:18" s="6" customFormat="1" ht="15" customHeight="1">
      <c r="B84" s="21"/>
      <c r="C84" s="15" t="s">
        <v>28</v>
      </c>
      <c r="F84" s="16" t="str">
        <f>IF($E$15="","",$E$15)</f>
        <v>Vyplň údaj</v>
      </c>
      <c r="K84" s="15" t="s">
        <v>33</v>
      </c>
      <c r="M84" s="174" t="str">
        <f>$E$21</f>
        <v>Ing. Karel Vrátný, Rubešova 60, 280 02 Kolín</v>
      </c>
      <c r="N84" s="161"/>
      <c r="O84" s="161"/>
      <c r="P84" s="161"/>
      <c r="Q84" s="161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198" t="s">
        <v>122</v>
      </c>
      <c r="D86" s="190"/>
      <c r="E86" s="190"/>
      <c r="F86" s="190"/>
      <c r="G86" s="190"/>
      <c r="H86" s="30"/>
      <c r="I86" s="30"/>
      <c r="J86" s="30"/>
      <c r="K86" s="30"/>
      <c r="L86" s="30"/>
      <c r="M86" s="30"/>
      <c r="N86" s="198" t="s">
        <v>123</v>
      </c>
      <c r="O86" s="161"/>
      <c r="P86" s="161"/>
      <c r="Q86" s="161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0" t="s">
        <v>124</v>
      </c>
      <c r="N88" s="187">
        <f>ROUNDUP($N$125,2)</f>
        <v>0</v>
      </c>
      <c r="O88" s="161"/>
      <c r="P88" s="161"/>
      <c r="Q88" s="161"/>
      <c r="R88" s="22"/>
      <c r="AU88" s="6" t="s">
        <v>125</v>
      </c>
    </row>
    <row r="89" spans="2:18" s="65" customFormat="1" ht="25.5" customHeight="1">
      <c r="B89" s="94"/>
      <c r="D89" s="95" t="s">
        <v>126</v>
      </c>
      <c r="N89" s="199">
        <f>ROUNDUP($N$126,2)</f>
        <v>0</v>
      </c>
      <c r="O89" s="200"/>
      <c r="P89" s="200"/>
      <c r="Q89" s="200"/>
      <c r="R89" s="96"/>
    </row>
    <row r="90" spans="2:18" s="90" customFormat="1" ht="21" customHeight="1">
      <c r="B90" s="97"/>
      <c r="D90" s="78" t="s">
        <v>127</v>
      </c>
      <c r="N90" s="185">
        <f>ROUNDUP($N$127,2)</f>
        <v>0</v>
      </c>
      <c r="O90" s="200"/>
      <c r="P90" s="200"/>
      <c r="Q90" s="200"/>
      <c r="R90" s="98"/>
    </row>
    <row r="91" spans="2:18" s="90" customFormat="1" ht="21" customHeight="1">
      <c r="B91" s="97"/>
      <c r="D91" s="78" t="s">
        <v>128</v>
      </c>
      <c r="N91" s="185">
        <f>ROUNDUP($N$133,2)</f>
        <v>0</v>
      </c>
      <c r="O91" s="200"/>
      <c r="P91" s="200"/>
      <c r="Q91" s="200"/>
      <c r="R91" s="98"/>
    </row>
    <row r="92" spans="2:18" s="90" customFormat="1" ht="21" customHeight="1">
      <c r="B92" s="97"/>
      <c r="D92" s="78" t="s">
        <v>129</v>
      </c>
      <c r="N92" s="185">
        <f>ROUNDUP($N$139,2)</f>
        <v>0</v>
      </c>
      <c r="O92" s="200"/>
      <c r="P92" s="200"/>
      <c r="Q92" s="200"/>
      <c r="R92" s="98"/>
    </row>
    <row r="93" spans="2:18" s="90" customFormat="1" ht="21" customHeight="1">
      <c r="B93" s="97"/>
      <c r="D93" s="78" t="s">
        <v>384</v>
      </c>
      <c r="N93" s="185">
        <f>ROUNDUP($N$145,2)</f>
        <v>0</v>
      </c>
      <c r="O93" s="200"/>
      <c r="P93" s="200"/>
      <c r="Q93" s="200"/>
      <c r="R93" s="98"/>
    </row>
    <row r="94" spans="2:18" s="65" customFormat="1" ht="25.5" customHeight="1">
      <c r="B94" s="94"/>
      <c r="D94" s="95" t="s">
        <v>131</v>
      </c>
      <c r="N94" s="199">
        <f>ROUNDUP($N$152,2)</f>
        <v>0</v>
      </c>
      <c r="O94" s="200"/>
      <c r="P94" s="200"/>
      <c r="Q94" s="200"/>
      <c r="R94" s="96"/>
    </row>
    <row r="95" spans="2:18" s="90" customFormat="1" ht="21" customHeight="1">
      <c r="B95" s="97"/>
      <c r="D95" s="78" t="s">
        <v>134</v>
      </c>
      <c r="N95" s="185">
        <f>ROUNDUP($N$153,2)</f>
        <v>0</v>
      </c>
      <c r="O95" s="200"/>
      <c r="P95" s="200"/>
      <c r="Q95" s="200"/>
      <c r="R95" s="98"/>
    </row>
    <row r="96" spans="2:18" s="90" customFormat="1" ht="21" customHeight="1">
      <c r="B96" s="97"/>
      <c r="D96" s="78" t="s">
        <v>135</v>
      </c>
      <c r="N96" s="185">
        <f>ROUNDUP($N$161,2)</f>
        <v>0</v>
      </c>
      <c r="O96" s="200"/>
      <c r="P96" s="200"/>
      <c r="Q96" s="200"/>
      <c r="R96" s="98"/>
    </row>
    <row r="97" spans="2:18" s="90" customFormat="1" ht="21" customHeight="1">
      <c r="B97" s="97"/>
      <c r="D97" s="78" t="s">
        <v>136</v>
      </c>
      <c r="N97" s="185">
        <f>ROUNDUP($N$167,2)</f>
        <v>0</v>
      </c>
      <c r="O97" s="200"/>
      <c r="P97" s="200"/>
      <c r="Q97" s="200"/>
      <c r="R97" s="98"/>
    </row>
    <row r="98" spans="2:18" s="65" customFormat="1" ht="22.5" customHeight="1">
      <c r="B98" s="94"/>
      <c r="D98" s="95" t="s">
        <v>137</v>
      </c>
      <c r="N98" s="201">
        <f>$N$181</f>
        <v>0</v>
      </c>
      <c r="O98" s="200"/>
      <c r="P98" s="200"/>
      <c r="Q98" s="200"/>
      <c r="R98" s="96"/>
    </row>
    <row r="99" spans="2:18" s="6" customFormat="1" ht="22.5" customHeight="1">
      <c r="B99" s="21"/>
      <c r="R99" s="22"/>
    </row>
    <row r="100" spans="2:21" s="6" customFormat="1" ht="30" customHeight="1">
      <c r="B100" s="21"/>
      <c r="C100" s="60" t="s">
        <v>138</v>
      </c>
      <c r="N100" s="187">
        <f>ROUNDUP($N$101+$N$102+$N$103+$N$104+$N$105+$N$106,2)</f>
        <v>0</v>
      </c>
      <c r="O100" s="161"/>
      <c r="P100" s="161"/>
      <c r="Q100" s="161"/>
      <c r="R100" s="22"/>
      <c r="T100" s="99"/>
      <c r="U100" s="100" t="s">
        <v>39</v>
      </c>
    </row>
    <row r="101" spans="2:62" s="6" customFormat="1" ht="18.75" customHeight="1">
      <c r="B101" s="21"/>
      <c r="D101" s="186" t="s">
        <v>139</v>
      </c>
      <c r="E101" s="161"/>
      <c r="F101" s="161"/>
      <c r="G101" s="161"/>
      <c r="H101" s="161"/>
      <c r="N101" s="184">
        <f>ROUNDUP($N$88*$T$101,2)</f>
        <v>0</v>
      </c>
      <c r="O101" s="161"/>
      <c r="P101" s="161"/>
      <c r="Q101" s="161"/>
      <c r="R101" s="22"/>
      <c r="T101" s="101"/>
      <c r="U101" s="102" t="s">
        <v>42</v>
      </c>
      <c r="AY101" s="6" t="s">
        <v>140</v>
      </c>
      <c r="BE101" s="82">
        <f>IF($U$101="základní",$N$101,0)</f>
        <v>0</v>
      </c>
      <c r="BF101" s="82">
        <f>IF($U$101="snížená",$N$101,0)</f>
        <v>0</v>
      </c>
      <c r="BG101" s="82">
        <f>IF($U$101="zákl. přenesená",$N$101,0)</f>
        <v>0</v>
      </c>
      <c r="BH101" s="82">
        <f>IF($U$101="sníž. přenesená",$N$101,0)</f>
        <v>0</v>
      </c>
      <c r="BI101" s="82">
        <f>IF($U$101="nulová",$N$101,0)</f>
        <v>0</v>
      </c>
      <c r="BJ101" s="6" t="s">
        <v>141</v>
      </c>
    </row>
    <row r="102" spans="2:62" s="6" customFormat="1" ht="18.75" customHeight="1">
      <c r="B102" s="21"/>
      <c r="D102" s="186" t="s">
        <v>142</v>
      </c>
      <c r="E102" s="161"/>
      <c r="F102" s="161"/>
      <c r="G102" s="161"/>
      <c r="H102" s="161"/>
      <c r="N102" s="184">
        <f>ROUNDUP($N$88*$T$102,2)</f>
        <v>0</v>
      </c>
      <c r="O102" s="161"/>
      <c r="P102" s="161"/>
      <c r="Q102" s="161"/>
      <c r="R102" s="22"/>
      <c r="T102" s="101"/>
      <c r="U102" s="102" t="s">
        <v>42</v>
      </c>
      <c r="AY102" s="6" t="s">
        <v>140</v>
      </c>
      <c r="BE102" s="82">
        <f>IF($U$102="základní",$N$102,0)</f>
        <v>0</v>
      </c>
      <c r="BF102" s="82">
        <f>IF($U$102="snížená",$N$102,0)</f>
        <v>0</v>
      </c>
      <c r="BG102" s="82">
        <f>IF($U$102="zákl. přenesená",$N$102,0)</f>
        <v>0</v>
      </c>
      <c r="BH102" s="82">
        <f>IF($U$102="sníž. přenesená",$N$102,0)</f>
        <v>0</v>
      </c>
      <c r="BI102" s="82">
        <f>IF($U$102="nulová",$N$102,0)</f>
        <v>0</v>
      </c>
      <c r="BJ102" s="6" t="s">
        <v>141</v>
      </c>
    </row>
    <row r="103" spans="2:62" s="6" customFormat="1" ht="18.75" customHeight="1">
      <c r="B103" s="21"/>
      <c r="D103" s="186" t="s">
        <v>143</v>
      </c>
      <c r="E103" s="161"/>
      <c r="F103" s="161"/>
      <c r="G103" s="161"/>
      <c r="H103" s="161"/>
      <c r="N103" s="184">
        <f>ROUNDUP($N$88*$T$103,2)</f>
        <v>0</v>
      </c>
      <c r="O103" s="161"/>
      <c r="P103" s="161"/>
      <c r="Q103" s="161"/>
      <c r="R103" s="22"/>
      <c r="T103" s="101"/>
      <c r="U103" s="102" t="s">
        <v>42</v>
      </c>
      <c r="AY103" s="6" t="s">
        <v>140</v>
      </c>
      <c r="BE103" s="82">
        <f>IF($U$103="základní",$N$103,0)</f>
        <v>0</v>
      </c>
      <c r="BF103" s="82">
        <f>IF($U$103="snížená",$N$103,0)</f>
        <v>0</v>
      </c>
      <c r="BG103" s="82">
        <f>IF($U$103="zákl. přenesená",$N$103,0)</f>
        <v>0</v>
      </c>
      <c r="BH103" s="82">
        <f>IF($U$103="sníž. přenesená",$N$103,0)</f>
        <v>0</v>
      </c>
      <c r="BI103" s="82">
        <f>IF($U$103="nulová",$N$103,0)</f>
        <v>0</v>
      </c>
      <c r="BJ103" s="6" t="s">
        <v>141</v>
      </c>
    </row>
    <row r="104" spans="2:62" s="6" customFormat="1" ht="18.75" customHeight="1">
      <c r="B104" s="21"/>
      <c r="D104" s="186" t="s">
        <v>144</v>
      </c>
      <c r="E104" s="161"/>
      <c r="F104" s="161"/>
      <c r="G104" s="161"/>
      <c r="H104" s="161"/>
      <c r="N104" s="184">
        <f>ROUNDUP($N$88*$T$104,2)</f>
        <v>0</v>
      </c>
      <c r="O104" s="161"/>
      <c r="P104" s="161"/>
      <c r="Q104" s="161"/>
      <c r="R104" s="22"/>
      <c r="T104" s="101"/>
      <c r="U104" s="102" t="s">
        <v>42</v>
      </c>
      <c r="AY104" s="6" t="s">
        <v>140</v>
      </c>
      <c r="BE104" s="82">
        <f>IF($U$104="základní",$N$104,0)</f>
        <v>0</v>
      </c>
      <c r="BF104" s="82">
        <f>IF($U$104="snížená",$N$104,0)</f>
        <v>0</v>
      </c>
      <c r="BG104" s="82">
        <f>IF($U$104="zákl. přenesená",$N$104,0)</f>
        <v>0</v>
      </c>
      <c r="BH104" s="82">
        <f>IF($U$104="sníž. přenesená",$N$104,0)</f>
        <v>0</v>
      </c>
      <c r="BI104" s="82">
        <f>IF($U$104="nulová",$N$104,0)</f>
        <v>0</v>
      </c>
      <c r="BJ104" s="6" t="s">
        <v>141</v>
      </c>
    </row>
    <row r="105" spans="2:62" s="6" customFormat="1" ht="18.75" customHeight="1">
      <c r="B105" s="21"/>
      <c r="D105" s="186" t="s">
        <v>145</v>
      </c>
      <c r="E105" s="161"/>
      <c r="F105" s="161"/>
      <c r="G105" s="161"/>
      <c r="H105" s="161"/>
      <c r="N105" s="184">
        <f>ROUNDUP($N$88*$T$105,2)</f>
        <v>0</v>
      </c>
      <c r="O105" s="161"/>
      <c r="P105" s="161"/>
      <c r="Q105" s="161"/>
      <c r="R105" s="22"/>
      <c r="T105" s="101"/>
      <c r="U105" s="102" t="s">
        <v>42</v>
      </c>
      <c r="AY105" s="6" t="s">
        <v>140</v>
      </c>
      <c r="BE105" s="82">
        <f>IF($U$105="základní",$N$105,0)</f>
        <v>0</v>
      </c>
      <c r="BF105" s="82">
        <f>IF($U$105="snížená",$N$105,0)</f>
        <v>0</v>
      </c>
      <c r="BG105" s="82">
        <f>IF($U$105="zákl. přenesená",$N$105,0)</f>
        <v>0</v>
      </c>
      <c r="BH105" s="82">
        <f>IF($U$105="sníž. přenesená",$N$105,0)</f>
        <v>0</v>
      </c>
      <c r="BI105" s="82">
        <f>IF($U$105="nulová",$N$105,0)</f>
        <v>0</v>
      </c>
      <c r="BJ105" s="6" t="s">
        <v>141</v>
      </c>
    </row>
    <row r="106" spans="2:62" s="6" customFormat="1" ht="18.75" customHeight="1">
      <c r="B106" s="21"/>
      <c r="D106" s="78" t="s">
        <v>146</v>
      </c>
      <c r="N106" s="184">
        <f>ROUNDUP($N$88*$T$106,2)</f>
        <v>0</v>
      </c>
      <c r="O106" s="161"/>
      <c r="P106" s="161"/>
      <c r="Q106" s="161"/>
      <c r="R106" s="22"/>
      <c r="T106" s="103"/>
      <c r="U106" s="104" t="s">
        <v>42</v>
      </c>
      <c r="AY106" s="6" t="s">
        <v>147</v>
      </c>
      <c r="BE106" s="82">
        <f>IF($U$106="základní",$N$106,0)</f>
        <v>0</v>
      </c>
      <c r="BF106" s="82">
        <f>IF($U$106="snížená",$N$106,0)</f>
        <v>0</v>
      </c>
      <c r="BG106" s="82">
        <f>IF($U$106="zákl. přenesená",$N$106,0)</f>
        <v>0</v>
      </c>
      <c r="BH106" s="82">
        <f>IF($U$106="sníž. přenesená",$N$106,0)</f>
        <v>0</v>
      </c>
      <c r="BI106" s="82">
        <f>IF($U$106="nulová",$N$106,0)</f>
        <v>0</v>
      </c>
      <c r="BJ106" s="6" t="s">
        <v>141</v>
      </c>
    </row>
    <row r="107" spans="2:18" s="6" customFormat="1" ht="14.25" customHeight="1">
      <c r="B107" s="21"/>
      <c r="R107" s="22"/>
    </row>
    <row r="108" spans="2:18" s="6" customFormat="1" ht="30" customHeight="1">
      <c r="B108" s="21"/>
      <c r="C108" s="89" t="s">
        <v>115</v>
      </c>
      <c r="D108" s="30"/>
      <c r="E108" s="30"/>
      <c r="F108" s="30"/>
      <c r="G108" s="30"/>
      <c r="H108" s="30"/>
      <c r="I108" s="30"/>
      <c r="J108" s="30"/>
      <c r="K108" s="30"/>
      <c r="L108" s="189">
        <f>ROUNDUP(SUM($N$88+$N$100),2)</f>
        <v>0</v>
      </c>
      <c r="M108" s="190"/>
      <c r="N108" s="190"/>
      <c r="O108" s="190"/>
      <c r="P108" s="190"/>
      <c r="Q108" s="190"/>
      <c r="R108" s="22"/>
    </row>
    <row r="109" spans="2:18" s="6" customFormat="1" ht="7.5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5"/>
    </row>
    <row r="113" spans="2:18" s="6" customFormat="1" ht="7.5" customHeight="1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8"/>
    </row>
    <row r="114" spans="2:18" s="6" customFormat="1" ht="37.5" customHeight="1">
      <c r="B114" s="21"/>
      <c r="C114" s="159" t="s">
        <v>148</v>
      </c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22"/>
    </row>
    <row r="115" spans="2:18" s="6" customFormat="1" ht="7.5" customHeight="1">
      <c r="B115" s="21"/>
      <c r="R115" s="22"/>
    </row>
    <row r="116" spans="2:18" s="6" customFormat="1" ht="15" customHeight="1">
      <c r="B116" s="21"/>
      <c r="C116" s="15" t="s">
        <v>14</v>
      </c>
      <c r="F116" s="192" t="str">
        <f>$F$6</f>
        <v>1327 - Stavební úpravy stávajícího objektu - rozdělení sklepních kójí</v>
      </c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R116" s="22"/>
    </row>
    <row r="117" spans="2:18" s="6" customFormat="1" ht="15" customHeight="1">
      <c r="B117" s="21"/>
      <c r="C117" s="14" t="s">
        <v>118</v>
      </c>
      <c r="F117" s="163" t="str">
        <f>$F$7</f>
        <v>1327 f - Sklepní kóje čp. 636</v>
      </c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R117" s="22"/>
    </row>
    <row r="118" spans="2:18" s="6" customFormat="1" ht="7.5" customHeight="1">
      <c r="B118" s="21"/>
      <c r="R118" s="22"/>
    </row>
    <row r="119" spans="2:18" s="6" customFormat="1" ht="18.75" customHeight="1">
      <c r="B119" s="21"/>
      <c r="C119" s="15" t="s">
        <v>18</v>
      </c>
      <c r="F119" s="16" t="str">
        <f>$F$9</f>
        <v>Kolín II, Benešova čp. 636 - 641</v>
      </c>
      <c r="K119" s="15" t="s">
        <v>20</v>
      </c>
      <c r="M119" s="197" t="str">
        <f>IF($O$9="","",$O$9)</f>
        <v>08.07.2013</v>
      </c>
      <c r="N119" s="161"/>
      <c r="O119" s="161"/>
      <c r="P119" s="161"/>
      <c r="R119" s="22"/>
    </row>
    <row r="120" spans="2:18" s="6" customFormat="1" ht="7.5" customHeight="1">
      <c r="B120" s="21"/>
      <c r="R120" s="22"/>
    </row>
    <row r="121" spans="2:18" s="6" customFormat="1" ht="15.75" customHeight="1">
      <c r="B121" s="21"/>
      <c r="C121" s="15" t="s">
        <v>24</v>
      </c>
      <c r="F121" s="16" t="str">
        <f>$E$12</f>
        <v>Město Kolín, Karlovo náměstí 78, 280 02 Kolín 1</v>
      </c>
      <c r="K121" s="15" t="s">
        <v>30</v>
      </c>
      <c r="M121" s="174" t="str">
        <f>$E$18</f>
        <v>Ing. Karel Vrátný, Rubešova 60, 280 02 Kolín</v>
      </c>
      <c r="N121" s="161"/>
      <c r="O121" s="161"/>
      <c r="P121" s="161"/>
      <c r="Q121" s="161"/>
      <c r="R121" s="22"/>
    </row>
    <row r="122" spans="2:18" s="6" customFormat="1" ht="15" customHeight="1">
      <c r="B122" s="21"/>
      <c r="C122" s="15" t="s">
        <v>28</v>
      </c>
      <c r="F122" s="16" t="str">
        <f>IF($E$15="","",$E$15)</f>
        <v>Vyplň údaj</v>
      </c>
      <c r="K122" s="15" t="s">
        <v>33</v>
      </c>
      <c r="M122" s="174" t="str">
        <f>$E$21</f>
        <v>Ing. Karel Vrátný, Rubešova 60, 280 02 Kolín</v>
      </c>
      <c r="N122" s="161"/>
      <c r="O122" s="161"/>
      <c r="P122" s="161"/>
      <c r="Q122" s="161"/>
      <c r="R122" s="22"/>
    </row>
    <row r="123" spans="2:18" s="6" customFormat="1" ht="11.25" customHeight="1">
      <c r="B123" s="21"/>
      <c r="R123" s="22"/>
    </row>
    <row r="124" spans="2:27" s="105" customFormat="1" ht="30" customHeight="1">
      <c r="B124" s="106"/>
      <c r="C124" s="107" t="s">
        <v>149</v>
      </c>
      <c r="D124" s="108" t="s">
        <v>150</v>
      </c>
      <c r="E124" s="108" t="s">
        <v>57</v>
      </c>
      <c r="F124" s="202" t="s">
        <v>151</v>
      </c>
      <c r="G124" s="203"/>
      <c r="H124" s="203"/>
      <c r="I124" s="203"/>
      <c r="J124" s="108" t="s">
        <v>152</v>
      </c>
      <c r="K124" s="108" t="s">
        <v>153</v>
      </c>
      <c r="L124" s="202" t="s">
        <v>154</v>
      </c>
      <c r="M124" s="203"/>
      <c r="N124" s="202" t="s">
        <v>155</v>
      </c>
      <c r="O124" s="203"/>
      <c r="P124" s="203"/>
      <c r="Q124" s="204"/>
      <c r="R124" s="109"/>
      <c r="T124" s="55" t="s">
        <v>156</v>
      </c>
      <c r="U124" s="56" t="s">
        <v>39</v>
      </c>
      <c r="V124" s="56" t="s">
        <v>157</v>
      </c>
      <c r="W124" s="56" t="s">
        <v>158</v>
      </c>
      <c r="X124" s="56" t="s">
        <v>159</v>
      </c>
      <c r="Y124" s="56" t="s">
        <v>160</v>
      </c>
      <c r="Z124" s="56" t="s">
        <v>161</v>
      </c>
      <c r="AA124" s="57" t="s">
        <v>162</v>
      </c>
    </row>
    <row r="125" spans="2:63" s="6" customFormat="1" ht="30" customHeight="1">
      <c r="B125" s="21"/>
      <c r="C125" s="60" t="s">
        <v>120</v>
      </c>
      <c r="N125" s="221">
        <f>$BK$125</f>
        <v>0</v>
      </c>
      <c r="O125" s="161"/>
      <c r="P125" s="161"/>
      <c r="Q125" s="161"/>
      <c r="R125" s="22"/>
      <c r="T125" s="59"/>
      <c r="U125" s="35"/>
      <c r="V125" s="35"/>
      <c r="W125" s="110">
        <f>$W$126+$W$152+$W$181</f>
        <v>217.19023299999998</v>
      </c>
      <c r="X125" s="35"/>
      <c r="Y125" s="110">
        <f>$Y$126+$Y$152+$Y$181</f>
        <v>6.820683119999999</v>
      </c>
      <c r="Z125" s="35"/>
      <c r="AA125" s="111">
        <f>$AA$126+$AA$152+$AA$181</f>
        <v>1.2243858</v>
      </c>
      <c r="AT125" s="6" t="s">
        <v>74</v>
      </c>
      <c r="AU125" s="6" t="s">
        <v>125</v>
      </c>
      <c r="BK125" s="112">
        <f>$BK$126+$BK$152+$BK$181</f>
        <v>0</v>
      </c>
    </row>
    <row r="126" spans="2:63" s="113" customFormat="1" ht="37.5" customHeight="1">
      <c r="B126" s="114"/>
      <c r="D126" s="115" t="s">
        <v>126</v>
      </c>
      <c r="N126" s="201">
        <f>$BK$126</f>
        <v>0</v>
      </c>
      <c r="O126" s="222"/>
      <c r="P126" s="222"/>
      <c r="Q126" s="222"/>
      <c r="R126" s="117"/>
      <c r="T126" s="118"/>
      <c r="W126" s="119">
        <f>$W$127+$W$133+$W$139+$W$145</f>
        <v>121.223044</v>
      </c>
      <c r="Y126" s="119">
        <f>$Y$127+$Y$133+$Y$139+$Y$145</f>
        <v>6.512240049999999</v>
      </c>
      <c r="AA126" s="120">
        <f>$AA$127+$AA$133+$AA$139+$AA$145</f>
        <v>0</v>
      </c>
      <c r="AR126" s="116" t="s">
        <v>17</v>
      </c>
      <c r="AT126" s="116" t="s">
        <v>74</v>
      </c>
      <c r="AU126" s="116" t="s">
        <v>75</v>
      </c>
      <c r="AY126" s="116" t="s">
        <v>163</v>
      </c>
      <c r="BK126" s="121">
        <f>$BK$127+$BK$133+$BK$139+$BK$145</f>
        <v>0</v>
      </c>
    </row>
    <row r="127" spans="2:63" s="113" customFormat="1" ht="21" customHeight="1">
      <c r="B127" s="114"/>
      <c r="D127" s="122" t="s">
        <v>127</v>
      </c>
      <c r="N127" s="223">
        <f>$BK$127</f>
        <v>0</v>
      </c>
      <c r="O127" s="222"/>
      <c r="P127" s="222"/>
      <c r="Q127" s="222"/>
      <c r="R127" s="117"/>
      <c r="T127" s="118"/>
      <c r="W127" s="119">
        <f>SUM($W$128:$W$132)</f>
        <v>41.2517</v>
      </c>
      <c r="Y127" s="119">
        <f>SUM($Y$128:$Y$132)</f>
        <v>5.0476661599999995</v>
      </c>
      <c r="AA127" s="120">
        <f>SUM($AA$128:$AA$132)</f>
        <v>0</v>
      </c>
      <c r="AR127" s="116" t="s">
        <v>17</v>
      </c>
      <c r="AT127" s="116" t="s">
        <v>74</v>
      </c>
      <c r="AU127" s="116" t="s">
        <v>17</v>
      </c>
      <c r="AY127" s="116" t="s">
        <v>163</v>
      </c>
      <c r="BK127" s="121">
        <f>SUM($BK$128:$BK$132)</f>
        <v>0</v>
      </c>
    </row>
    <row r="128" spans="2:64" s="6" customFormat="1" ht="39" customHeight="1">
      <c r="B128" s="21"/>
      <c r="C128" s="123" t="s">
        <v>17</v>
      </c>
      <c r="D128" s="123" t="s">
        <v>164</v>
      </c>
      <c r="E128" s="124" t="s">
        <v>165</v>
      </c>
      <c r="F128" s="205" t="s">
        <v>166</v>
      </c>
      <c r="G128" s="206"/>
      <c r="H128" s="206"/>
      <c r="I128" s="206"/>
      <c r="J128" s="125" t="s">
        <v>167</v>
      </c>
      <c r="K128" s="126">
        <v>8</v>
      </c>
      <c r="L128" s="207">
        <v>0</v>
      </c>
      <c r="M128" s="206"/>
      <c r="N128" s="208">
        <f>ROUND($L$128*$K$128,2)</f>
        <v>0</v>
      </c>
      <c r="O128" s="206"/>
      <c r="P128" s="206"/>
      <c r="Q128" s="206"/>
      <c r="R128" s="22"/>
      <c r="T128" s="127"/>
      <c r="U128" s="28" t="s">
        <v>42</v>
      </c>
      <c r="V128" s="128">
        <v>0.196</v>
      </c>
      <c r="W128" s="128">
        <f>$V$128*$K$128</f>
        <v>1.568</v>
      </c>
      <c r="X128" s="128">
        <v>0.02684</v>
      </c>
      <c r="Y128" s="128">
        <f>$X$128*$K$128</f>
        <v>0.21472</v>
      </c>
      <c r="Z128" s="128">
        <v>0</v>
      </c>
      <c r="AA128" s="129">
        <f>$Z$128*$K$128</f>
        <v>0</v>
      </c>
      <c r="AR128" s="6" t="s">
        <v>168</v>
      </c>
      <c r="AT128" s="6" t="s">
        <v>164</v>
      </c>
      <c r="AU128" s="6" t="s">
        <v>141</v>
      </c>
      <c r="AY128" s="6" t="s">
        <v>163</v>
      </c>
      <c r="BE128" s="82">
        <f>IF($U$128="základní",$N$128,0)</f>
        <v>0</v>
      </c>
      <c r="BF128" s="82">
        <f>IF($U$128="snížená",$N$128,0)</f>
        <v>0</v>
      </c>
      <c r="BG128" s="82">
        <f>IF($U$128="zákl. přenesená",$N$128,0)</f>
        <v>0</v>
      </c>
      <c r="BH128" s="82">
        <f>IF($U$128="sníž. přenesená",$N$128,0)</f>
        <v>0</v>
      </c>
      <c r="BI128" s="82">
        <f>IF($U$128="nulová",$N$128,0)</f>
        <v>0</v>
      </c>
      <c r="BJ128" s="6" t="s">
        <v>141</v>
      </c>
      <c r="BK128" s="82">
        <f>ROUND($L$128*$K$128,2)</f>
        <v>0</v>
      </c>
      <c r="BL128" s="6" t="s">
        <v>168</v>
      </c>
    </row>
    <row r="129" spans="2:64" s="6" customFormat="1" ht="39" customHeight="1">
      <c r="B129" s="21"/>
      <c r="C129" s="123" t="s">
        <v>141</v>
      </c>
      <c r="D129" s="123" t="s">
        <v>164</v>
      </c>
      <c r="E129" s="124" t="s">
        <v>169</v>
      </c>
      <c r="F129" s="205" t="s">
        <v>170</v>
      </c>
      <c r="G129" s="206"/>
      <c r="H129" s="206"/>
      <c r="I129" s="206"/>
      <c r="J129" s="125" t="s">
        <v>171</v>
      </c>
      <c r="K129" s="126">
        <v>69.188</v>
      </c>
      <c r="L129" s="207">
        <v>0</v>
      </c>
      <c r="M129" s="206"/>
      <c r="N129" s="208">
        <f>ROUND($L$129*$K$129,2)</f>
        <v>0</v>
      </c>
      <c r="O129" s="206"/>
      <c r="P129" s="206"/>
      <c r="Q129" s="206"/>
      <c r="R129" s="22"/>
      <c r="T129" s="127"/>
      <c r="U129" s="28" t="s">
        <v>42</v>
      </c>
      <c r="V129" s="128">
        <v>0.525</v>
      </c>
      <c r="W129" s="128">
        <f>$V$129*$K$129</f>
        <v>36.3237</v>
      </c>
      <c r="X129" s="128">
        <v>0.06982</v>
      </c>
      <c r="Y129" s="128">
        <f>$X$129*$K$129</f>
        <v>4.83070616</v>
      </c>
      <c r="Z129" s="128">
        <v>0</v>
      </c>
      <c r="AA129" s="129">
        <f>$Z$129*$K$129</f>
        <v>0</v>
      </c>
      <c r="AR129" s="6" t="s">
        <v>168</v>
      </c>
      <c r="AT129" s="6" t="s">
        <v>164</v>
      </c>
      <c r="AU129" s="6" t="s">
        <v>141</v>
      </c>
      <c r="AY129" s="6" t="s">
        <v>163</v>
      </c>
      <c r="BE129" s="82">
        <f>IF($U$129="základní",$N$129,0)</f>
        <v>0</v>
      </c>
      <c r="BF129" s="82">
        <f>IF($U$129="snížená",$N$129,0)</f>
        <v>0</v>
      </c>
      <c r="BG129" s="82">
        <f>IF($U$129="zákl. přenesená",$N$129,0)</f>
        <v>0</v>
      </c>
      <c r="BH129" s="82">
        <f>IF($U$129="sníž. přenesená",$N$129,0)</f>
        <v>0</v>
      </c>
      <c r="BI129" s="82">
        <f>IF($U$129="nulová",$N$129,0)</f>
        <v>0</v>
      </c>
      <c r="BJ129" s="6" t="s">
        <v>141</v>
      </c>
      <c r="BK129" s="82">
        <f>ROUND($L$129*$K$129,2)</f>
        <v>0</v>
      </c>
      <c r="BL129" s="6" t="s">
        <v>168</v>
      </c>
    </row>
    <row r="130" spans="2:51" s="6" customFormat="1" ht="27" customHeight="1">
      <c r="B130" s="130"/>
      <c r="E130" s="131"/>
      <c r="F130" s="209" t="s">
        <v>402</v>
      </c>
      <c r="G130" s="210"/>
      <c r="H130" s="210"/>
      <c r="I130" s="210"/>
      <c r="K130" s="132">
        <v>69.188</v>
      </c>
      <c r="R130" s="133"/>
      <c r="T130" s="134"/>
      <c r="AA130" s="135"/>
      <c r="AT130" s="131" t="s">
        <v>173</v>
      </c>
      <c r="AU130" s="131" t="s">
        <v>141</v>
      </c>
      <c r="AV130" s="131" t="s">
        <v>141</v>
      </c>
      <c r="AW130" s="131" t="s">
        <v>125</v>
      </c>
      <c r="AX130" s="131" t="s">
        <v>17</v>
      </c>
      <c r="AY130" s="131" t="s">
        <v>163</v>
      </c>
    </row>
    <row r="131" spans="2:64" s="6" customFormat="1" ht="27" customHeight="1">
      <c r="B131" s="21"/>
      <c r="C131" s="123" t="s">
        <v>174</v>
      </c>
      <c r="D131" s="123" t="s">
        <v>164</v>
      </c>
      <c r="E131" s="124" t="s">
        <v>175</v>
      </c>
      <c r="F131" s="205" t="s">
        <v>176</v>
      </c>
      <c r="G131" s="206"/>
      <c r="H131" s="206"/>
      <c r="I131" s="206"/>
      <c r="J131" s="125" t="s">
        <v>177</v>
      </c>
      <c r="K131" s="126">
        <v>28</v>
      </c>
      <c r="L131" s="207">
        <v>0</v>
      </c>
      <c r="M131" s="206"/>
      <c r="N131" s="208">
        <f>ROUND($L$131*$K$131,2)</f>
        <v>0</v>
      </c>
      <c r="O131" s="206"/>
      <c r="P131" s="206"/>
      <c r="Q131" s="206"/>
      <c r="R131" s="22"/>
      <c r="T131" s="127"/>
      <c r="U131" s="28" t="s">
        <v>42</v>
      </c>
      <c r="V131" s="128">
        <v>0.12</v>
      </c>
      <c r="W131" s="128">
        <f>$V$131*$K$131</f>
        <v>3.36</v>
      </c>
      <c r="X131" s="128">
        <v>8E-05</v>
      </c>
      <c r="Y131" s="128">
        <f>$X$131*$K$131</f>
        <v>0.0022400000000000002</v>
      </c>
      <c r="Z131" s="128">
        <v>0</v>
      </c>
      <c r="AA131" s="129">
        <f>$Z$131*$K$131</f>
        <v>0</v>
      </c>
      <c r="AR131" s="6" t="s">
        <v>168</v>
      </c>
      <c r="AT131" s="6" t="s">
        <v>164</v>
      </c>
      <c r="AU131" s="6" t="s">
        <v>141</v>
      </c>
      <c r="AY131" s="6" t="s">
        <v>163</v>
      </c>
      <c r="BE131" s="82">
        <f>IF($U$131="základní",$N$131,0)</f>
        <v>0</v>
      </c>
      <c r="BF131" s="82">
        <f>IF($U$131="snížená",$N$131,0)</f>
        <v>0</v>
      </c>
      <c r="BG131" s="82">
        <f>IF($U$131="zákl. přenesená",$N$131,0)</f>
        <v>0</v>
      </c>
      <c r="BH131" s="82">
        <f>IF($U$131="sníž. přenesená",$N$131,0)</f>
        <v>0</v>
      </c>
      <c r="BI131" s="82">
        <f>IF($U$131="nulová",$N$131,0)</f>
        <v>0</v>
      </c>
      <c r="BJ131" s="6" t="s">
        <v>141</v>
      </c>
      <c r="BK131" s="82">
        <f>ROUND($L$131*$K$131,2)</f>
        <v>0</v>
      </c>
      <c r="BL131" s="6" t="s">
        <v>168</v>
      </c>
    </row>
    <row r="132" spans="2:51" s="6" customFormat="1" ht="15.75" customHeight="1">
      <c r="B132" s="130"/>
      <c r="E132" s="131"/>
      <c r="F132" s="209" t="s">
        <v>403</v>
      </c>
      <c r="G132" s="210"/>
      <c r="H132" s="210"/>
      <c r="I132" s="210"/>
      <c r="K132" s="132">
        <v>28</v>
      </c>
      <c r="R132" s="133"/>
      <c r="T132" s="134"/>
      <c r="AA132" s="135"/>
      <c r="AT132" s="131" t="s">
        <v>173</v>
      </c>
      <c r="AU132" s="131" t="s">
        <v>141</v>
      </c>
      <c r="AV132" s="131" t="s">
        <v>141</v>
      </c>
      <c r="AW132" s="131" t="s">
        <v>125</v>
      </c>
      <c r="AX132" s="131" t="s">
        <v>17</v>
      </c>
      <c r="AY132" s="131" t="s">
        <v>163</v>
      </c>
    </row>
    <row r="133" spans="2:63" s="113" customFormat="1" ht="30.75" customHeight="1">
      <c r="B133" s="114"/>
      <c r="D133" s="122" t="s">
        <v>128</v>
      </c>
      <c r="N133" s="223">
        <f>$BK$133</f>
        <v>0</v>
      </c>
      <c r="O133" s="222"/>
      <c r="P133" s="222"/>
      <c r="Q133" s="222"/>
      <c r="R133" s="117"/>
      <c r="T133" s="118"/>
      <c r="W133" s="119">
        <f>SUM($W$134:$W$138)</f>
        <v>44.882619999999996</v>
      </c>
      <c r="Y133" s="119">
        <f>SUM($Y$134:$Y$138)</f>
        <v>1.46034201</v>
      </c>
      <c r="AA133" s="120">
        <f>SUM($AA$134:$AA$138)</f>
        <v>0</v>
      </c>
      <c r="AR133" s="116" t="s">
        <v>17</v>
      </c>
      <c r="AT133" s="116" t="s">
        <v>74</v>
      </c>
      <c r="AU133" s="116" t="s">
        <v>17</v>
      </c>
      <c r="AY133" s="116" t="s">
        <v>163</v>
      </c>
      <c r="BK133" s="121">
        <f>SUM($BK$134:$BK$138)</f>
        <v>0</v>
      </c>
    </row>
    <row r="134" spans="2:64" s="6" customFormat="1" ht="27" customHeight="1">
      <c r="B134" s="21"/>
      <c r="C134" s="123" t="s">
        <v>168</v>
      </c>
      <c r="D134" s="123" t="s">
        <v>164</v>
      </c>
      <c r="E134" s="124" t="s">
        <v>179</v>
      </c>
      <c r="F134" s="205" t="s">
        <v>180</v>
      </c>
      <c r="G134" s="206"/>
      <c r="H134" s="206"/>
      <c r="I134" s="206"/>
      <c r="J134" s="125" t="s">
        <v>171</v>
      </c>
      <c r="K134" s="126">
        <v>57.797</v>
      </c>
      <c r="L134" s="207">
        <v>0</v>
      </c>
      <c r="M134" s="206"/>
      <c r="N134" s="208">
        <f>ROUND($L$134*$K$134,2)</f>
        <v>0</v>
      </c>
      <c r="O134" s="206"/>
      <c r="P134" s="206"/>
      <c r="Q134" s="206"/>
      <c r="R134" s="22"/>
      <c r="T134" s="127"/>
      <c r="U134" s="28" t="s">
        <v>42</v>
      </c>
      <c r="V134" s="128">
        <v>0.46</v>
      </c>
      <c r="W134" s="128">
        <f>$V$134*$K$134</f>
        <v>26.58662</v>
      </c>
      <c r="X134" s="128">
        <v>0.01733</v>
      </c>
      <c r="Y134" s="128">
        <f>$X$134*$K$134</f>
        <v>1.00162201</v>
      </c>
      <c r="Z134" s="128">
        <v>0</v>
      </c>
      <c r="AA134" s="129">
        <f>$Z$134*$K$134</f>
        <v>0</v>
      </c>
      <c r="AR134" s="6" t="s">
        <v>168</v>
      </c>
      <c r="AT134" s="6" t="s">
        <v>164</v>
      </c>
      <c r="AU134" s="6" t="s">
        <v>141</v>
      </c>
      <c r="AY134" s="6" t="s">
        <v>163</v>
      </c>
      <c r="BE134" s="82">
        <f>IF($U$134="základní",$N$134,0)</f>
        <v>0</v>
      </c>
      <c r="BF134" s="82">
        <f>IF($U$134="snížená",$N$134,0)</f>
        <v>0</v>
      </c>
      <c r="BG134" s="82">
        <f>IF($U$134="zákl. přenesená",$N$134,0)</f>
        <v>0</v>
      </c>
      <c r="BH134" s="82">
        <f>IF($U$134="sníž. přenesená",$N$134,0)</f>
        <v>0</v>
      </c>
      <c r="BI134" s="82">
        <f>IF($U$134="nulová",$N$134,0)</f>
        <v>0</v>
      </c>
      <c r="BJ134" s="6" t="s">
        <v>141</v>
      </c>
      <c r="BK134" s="82">
        <f>ROUND($L$134*$K$134,2)</f>
        <v>0</v>
      </c>
      <c r="BL134" s="6" t="s">
        <v>168</v>
      </c>
    </row>
    <row r="135" spans="2:51" s="6" customFormat="1" ht="27" customHeight="1">
      <c r="B135" s="130"/>
      <c r="E135" s="131"/>
      <c r="F135" s="209" t="s">
        <v>404</v>
      </c>
      <c r="G135" s="210"/>
      <c r="H135" s="210"/>
      <c r="I135" s="210"/>
      <c r="K135" s="132">
        <v>57.797</v>
      </c>
      <c r="R135" s="133"/>
      <c r="T135" s="134"/>
      <c r="AA135" s="135"/>
      <c r="AT135" s="131" t="s">
        <v>173</v>
      </c>
      <c r="AU135" s="131" t="s">
        <v>141</v>
      </c>
      <c r="AV135" s="131" t="s">
        <v>141</v>
      </c>
      <c r="AW135" s="131" t="s">
        <v>125</v>
      </c>
      <c r="AX135" s="131" t="s">
        <v>17</v>
      </c>
      <c r="AY135" s="131" t="s">
        <v>163</v>
      </c>
    </row>
    <row r="136" spans="2:64" s="6" customFormat="1" ht="15.75" customHeight="1">
      <c r="B136" s="21"/>
      <c r="C136" s="123" t="s">
        <v>182</v>
      </c>
      <c r="D136" s="123" t="s">
        <v>164</v>
      </c>
      <c r="E136" s="124" t="s">
        <v>187</v>
      </c>
      <c r="F136" s="205" t="s">
        <v>188</v>
      </c>
      <c r="G136" s="206"/>
      <c r="H136" s="206"/>
      <c r="I136" s="206"/>
      <c r="J136" s="125" t="s">
        <v>167</v>
      </c>
      <c r="K136" s="126">
        <v>8</v>
      </c>
      <c r="L136" s="207">
        <v>0</v>
      </c>
      <c r="M136" s="206"/>
      <c r="N136" s="208">
        <f>ROUND($L$136*$K$136,2)</f>
        <v>0</v>
      </c>
      <c r="O136" s="206"/>
      <c r="P136" s="206"/>
      <c r="Q136" s="206"/>
      <c r="R136" s="22"/>
      <c r="T136" s="127"/>
      <c r="U136" s="28" t="s">
        <v>42</v>
      </c>
      <c r="V136" s="128">
        <v>1.607</v>
      </c>
      <c r="W136" s="128">
        <f>$V$136*$K$136</f>
        <v>12.856</v>
      </c>
      <c r="X136" s="128">
        <v>0.04634</v>
      </c>
      <c r="Y136" s="128">
        <f>$X$136*$K$136</f>
        <v>0.37072</v>
      </c>
      <c r="Z136" s="128">
        <v>0</v>
      </c>
      <c r="AA136" s="129">
        <f>$Z$136*$K$136</f>
        <v>0</v>
      </c>
      <c r="AR136" s="6" t="s">
        <v>168</v>
      </c>
      <c r="AT136" s="6" t="s">
        <v>164</v>
      </c>
      <c r="AU136" s="6" t="s">
        <v>141</v>
      </c>
      <c r="AY136" s="6" t="s">
        <v>163</v>
      </c>
      <c r="BE136" s="82">
        <f>IF($U$136="základní",$N$136,0)</f>
        <v>0</v>
      </c>
      <c r="BF136" s="82">
        <f>IF($U$136="snížená",$N$136,0)</f>
        <v>0</v>
      </c>
      <c r="BG136" s="82">
        <f>IF($U$136="zákl. přenesená",$N$136,0)</f>
        <v>0</v>
      </c>
      <c r="BH136" s="82">
        <f>IF($U$136="sníž. přenesená",$N$136,0)</f>
        <v>0</v>
      </c>
      <c r="BI136" s="82">
        <f>IF($U$136="nulová",$N$136,0)</f>
        <v>0</v>
      </c>
      <c r="BJ136" s="6" t="s">
        <v>141</v>
      </c>
      <c r="BK136" s="82">
        <f>ROUND($L$136*$K$136,2)</f>
        <v>0</v>
      </c>
      <c r="BL136" s="6" t="s">
        <v>168</v>
      </c>
    </row>
    <row r="137" spans="2:64" s="6" customFormat="1" ht="15.75" customHeight="1">
      <c r="B137" s="21"/>
      <c r="C137" s="136" t="s">
        <v>186</v>
      </c>
      <c r="D137" s="136" t="s">
        <v>190</v>
      </c>
      <c r="E137" s="137" t="s">
        <v>191</v>
      </c>
      <c r="F137" s="211" t="s">
        <v>192</v>
      </c>
      <c r="G137" s="212"/>
      <c r="H137" s="212"/>
      <c r="I137" s="212"/>
      <c r="J137" s="138" t="s">
        <v>167</v>
      </c>
      <c r="K137" s="139">
        <v>8</v>
      </c>
      <c r="L137" s="213">
        <v>0</v>
      </c>
      <c r="M137" s="212"/>
      <c r="N137" s="214">
        <f>ROUND($L$137*$K$137,2)</f>
        <v>0</v>
      </c>
      <c r="O137" s="206"/>
      <c r="P137" s="206"/>
      <c r="Q137" s="206"/>
      <c r="R137" s="22"/>
      <c r="T137" s="127"/>
      <c r="U137" s="28" t="s">
        <v>42</v>
      </c>
      <c r="V137" s="128">
        <v>0</v>
      </c>
      <c r="W137" s="128">
        <f>$V$137*$K$137</f>
        <v>0</v>
      </c>
      <c r="X137" s="128">
        <v>0.011</v>
      </c>
      <c r="Y137" s="128">
        <f>$X$137*$K$137</f>
        <v>0.088</v>
      </c>
      <c r="Z137" s="128">
        <v>0</v>
      </c>
      <c r="AA137" s="129">
        <f>$Z$137*$K$137</f>
        <v>0</v>
      </c>
      <c r="AR137" s="6" t="s">
        <v>193</v>
      </c>
      <c r="AT137" s="6" t="s">
        <v>190</v>
      </c>
      <c r="AU137" s="6" t="s">
        <v>141</v>
      </c>
      <c r="AY137" s="6" t="s">
        <v>163</v>
      </c>
      <c r="BE137" s="82">
        <f>IF($U$137="základní",$N$137,0)</f>
        <v>0</v>
      </c>
      <c r="BF137" s="82">
        <f>IF($U$137="snížená",$N$137,0)</f>
        <v>0</v>
      </c>
      <c r="BG137" s="82">
        <f>IF($U$137="zákl. přenesená",$N$137,0)</f>
        <v>0</v>
      </c>
      <c r="BH137" s="82">
        <f>IF($U$137="sníž. přenesená",$N$137,0)</f>
        <v>0</v>
      </c>
      <c r="BI137" s="82">
        <f>IF($U$137="nulová",$N$137,0)</f>
        <v>0</v>
      </c>
      <c r="BJ137" s="6" t="s">
        <v>141</v>
      </c>
      <c r="BK137" s="82">
        <f>ROUND($L$137*$K$137,2)</f>
        <v>0</v>
      </c>
      <c r="BL137" s="6" t="s">
        <v>168</v>
      </c>
    </row>
    <row r="138" spans="2:64" s="6" customFormat="1" ht="27" customHeight="1">
      <c r="B138" s="21"/>
      <c r="C138" s="123" t="s">
        <v>189</v>
      </c>
      <c r="D138" s="123" t="s">
        <v>164</v>
      </c>
      <c r="E138" s="124" t="s">
        <v>197</v>
      </c>
      <c r="F138" s="205" t="s">
        <v>348</v>
      </c>
      <c r="G138" s="206"/>
      <c r="H138" s="206"/>
      <c r="I138" s="206"/>
      <c r="J138" s="125" t="s">
        <v>167</v>
      </c>
      <c r="K138" s="126">
        <v>34</v>
      </c>
      <c r="L138" s="207">
        <v>0</v>
      </c>
      <c r="M138" s="206"/>
      <c r="N138" s="208">
        <f>ROUND($L$138*$K$138,2)</f>
        <v>0</v>
      </c>
      <c r="O138" s="206"/>
      <c r="P138" s="206"/>
      <c r="Q138" s="206"/>
      <c r="R138" s="22"/>
      <c r="T138" s="127"/>
      <c r="U138" s="28" t="s">
        <v>42</v>
      </c>
      <c r="V138" s="128">
        <v>0.16</v>
      </c>
      <c r="W138" s="128">
        <f>$V$138*$K$138</f>
        <v>5.44</v>
      </c>
      <c r="X138" s="128">
        <v>0</v>
      </c>
      <c r="Y138" s="128">
        <f>$X$138*$K$138</f>
        <v>0</v>
      </c>
      <c r="Z138" s="128">
        <v>0</v>
      </c>
      <c r="AA138" s="129">
        <f>$Z$138*$K$138</f>
        <v>0</v>
      </c>
      <c r="AR138" s="6" t="s">
        <v>168</v>
      </c>
      <c r="AT138" s="6" t="s">
        <v>164</v>
      </c>
      <c r="AU138" s="6" t="s">
        <v>141</v>
      </c>
      <c r="AY138" s="6" t="s">
        <v>163</v>
      </c>
      <c r="BE138" s="82">
        <f>IF($U$138="základní",$N$138,0)</f>
        <v>0</v>
      </c>
      <c r="BF138" s="82">
        <f>IF($U$138="snížená",$N$138,0)</f>
        <v>0</v>
      </c>
      <c r="BG138" s="82">
        <f>IF($U$138="zákl. přenesená",$N$138,0)</f>
        <v>0</v>
      </c>
      <c r="BH138" s="82">
        <f>IF($U$138="sníž. přenesená",$N$138,0)</f>
        <v>0</v>
      </c>
      <c r="BI138" s="82">
        <f>IF($U$138="nulová",$N$138,0)</f>
        <v>0</v>
      </c>
      <c r="BJ138" s="6" t="s">
        <v>141</v>
      </c>
      <c r="BK138" s="82">
        <f>ROUND($L$138*$K$138,2)</f>
        <v>0</v>
      </c>
      <c r="BL138" s="6" t="s">
        <v>168</v>
      </c>
    </row>
    <row r="139" spans="2:63" s="113" customFormat="1" ht="30.75" customHeight="1">
      <c r="B139" s="114"/>
      <c r="D139" s="122" t="s">
        <v>129</v>
      </c>
      <c r="N139" s="223">
        <f>$BK$139</f>
        <v>0</v>
      </c>
      <c r="O139" s="222"/>
      <c r="P139" s="222"/>
      <c r="Q139" s="222"/>
      <c r="R139" s="117"/>
      <c r="T139" s="118"/>
      <c r="W139" s="119">
        <f>SUM($W$140:$W$144)</f>
        <v>32.585476</v>
      </c>
      <c r="Y139" s="119">
        <f>SUM($Y$140:$Y$144)</f>
        <v>0.00423188</v>
      </c>
      <c r="AA139" s="120">
        <f>SUM($AA$140:$AA$144)</f>
        <v>0</v>
      </c>
      <c r="AR139" s="116" t="s">
        <v>17</v>
      </c>
      <c r="AT139" s="116" t="s">
        <v>74</v>
      </c>
      <c r="AU139" s="116" t="s">
        <v>17</v>
      </c>
      <c r="AY139" s="116" t="s">
        <v>163</v>
      </c>
      <c r="BK139" s="121">
        <f>SUM($BK$140:$BK$144)</f>
        <v>0</v>
      </c>
    </row>
    <row r="140" spans="2:64" s="6" customFormat="1" ht="27" customHeight="1">
      <c r="B140" s="21"/>
      <c r="C140" s="123" t="s">
        <v>193</v>
      </c>
      <c r="D140" s="123" t="s">
        <v>164</v>
      </c>
      <c r="E140" s="124" t="s">
        <v>199</v>
      </c>
      <c r="F140" s="205" t="s">
        <v>200</v>
      </c>
      <c r="G140" s="206"/>
      <c r="H140" s="206"/>
      <c r="I140" s="206"/>
      <c r="J140" s="125" t="s">
        <v>171</v>
      </c>
      <c r="K140" s="126">
        <v>105.797</v>
      </c>
      <c r="L140" s="207">
        <v>0</v>
      </c>
      <c r="M140" s="206"/>
      <c r="N140" s="208">
        <f>ROUND($L$140*$K$140,2)</f>
        <v>0</v>
      </c>
      <c r="O140" s="206"/>
      <c r="P140" s="206"/>
      <c r="Q140" s="206"/>
      <c r="R140" s="22"/>
      <c r="T140" s="127"/>
      <c r="U140" s="28" t="s">
        <v>42</v>
      </c>
      <c r="V140" s="128">
        <v>0.308</v>
      </c>
      <c r="W140" s="128">
        <f>$V$140*$K$140</f>
        <v>32.585476</v>
      </c>
      <c r="X140" s="128">
        <v>4E-05</v>
      </c>
      <c r="Y140" s="128">
        <f>$X$140*$K$140</f>
        <v>0.00423188</v>
      </c>
      <c r="Z140" s="128">
        <v>0</v>
      </c>
      <c r="AA140" s="129">
        <f>$Z$140*$K$140</f>
        <v>0</v>
      </c>
      <c r="AR140" s="6" t="s">
        <v>168</v>
      </c>
      <c r="AT140" s="6" t="s">
        <v>164</v>
      </c>
      <c r="AU140" s="6" t="s">
        <v>141</v>
      </c>
      <c r="AY140" s="6" t="s">
        <v>163</v>
      </c>
      <c r="BE140" s="82">
        <f>IF($U$140="základní",$N$140,0)</f>
        <v>0</v>
      </c>
      <c r="BF140" s="82">
        <f>IF($U$140="snížená",$N$140,0)</f>
        <v>0</v>
      </c>
      <c r="BG140" s="82">
        <f>IF($U$140="zákl. přenesená",$N$140,0)</f>
        <v>0</v>
      </c>
      <c r="BH140" s="82">
        <f>IF($U$140="sníž. přenesená",$N$140,0)</f>
        <v>0</v>
      </c>
      <c r="BI140" s="82">
        <f>IF($U$140="nulová",$N$140,0)</f>
        <v>0</v>
      </c>
      <c r="BJ140" s="6" t="s">
        <v>141</v>
      </c>
      <c r="BK140" s="82">
        <f>ROUND($L$140*$K$140,2)</f>
        <v>0</v>
      </c>
      <c r="BL140" s="6" t="s">
        <v>168</v>
      </c>
    </row>
    <row r="141" spans="2:51" s="6" customFormat="1" ht="27" customHeight="1">
      <c r="B141" s="130"/>
      <c r="E141" s="131"/>
      <c r="F141" s="209" t="s">
        <v>405</v>
      </c>
      <c r="G141" s="210"/>
      <c r="H141" s="210"/>
      <c r="I141" s="210"/>
      <c r="K141" s="132">
        <v>17.731</v>
      </c>
      <c r="R141" s="133"/>
      <c r="T141" s="134"/>
      <c r="AA141" s="135"/>
      <c r="AT141" s="131" t="s">
        <v>173</v>
      </c>
      <c r="AU141" s="131" t="s">
        <v>141</v>
      </c>
      <c r="AV141" s="131" t="s">
        <v>141</v>
      </c>
      <c r="AW141" s="131" t="s">
        <v>125</v>
      </c>
      <c r="AX141" s="131" t="s">
        <v>75</v>
      </c>
      <c r="AY141" s="131" t="s">
        <v>163</v>
      </c>
    </row>
    <row r="142" spans="2:51" s="6" customFormat="1" ht="27" customHeight="1">
      <c r="B142" s="130"/>
      <c r="E142" s="131"/>
      <c r="F142" s="209" t="s">
        <v>406</v>
      </c>
      <c r="G142" s="210"/>
      <c r="H142" s="210"/>
      <c r="I142" s="210"/>
      <c r="K142" s="132">
        <v>38.94</v>
      </c>
      <c r="R142" s="133"/>
      <c r="T142" s="134"/>
      <c r="AA142" s="135"/>
      <c r="AT142" s="131" t="s">
        <v>173</v>
      </c>
      <c r="AU142" s="131" t="s">
        <v>141</v>
      </c>
      <c r="AV142" s="131" t="s">
        <v>141</v>
      </c>
      <c r="AW142" s="131" t="s">
        <v>125</v>
      </c>
      <c r="AX142" s="131" t="s">
        <v>75</v>
      </c>
      <c r="AY142" s="131" t="s">
        <v>163</v>
      </c>
    </row>
    <row r="143" spans="2:51" s="6" customFormat="1" ht="27" customHeight="1">
      <c r="B143" s="130"/>
      <c r="E143" s="131"/>
      <c r="F143" s="209" t="s">
        <v>407</v>
      </c>
      <c r="G143" s="210"/>
      <c r="H143" s="210"/>
      <c r="I143" s="210"/>
      <c r="K143" s="132">
        <v>49.126</v>
      </c>
      <c r="R143" s="133"/>
      <c r="T143" s="134"/>
      <c r="AA143" s="135"/>
      <c r="AT143" s="131" t="s">
        <v>173</v>
      </c>
      <c r="AU143" s="131" t="s">
        <v>141</v>
      </c>
      <c r="AV143" s="131" t="s">
        <v>141</v>
      </c>
      <c r="AW143" s="131" t="s">
        <v>125</v>
      </c>
      <c r="AX143" s="131" t="s">
        <v>75</v>
      </c>
      <c r="AY143" s="131" t="s">
        <v>163</v>
      </c>
    </row>
    <row r="144" spans="2:51" s="6" customFormat="1" ht="15.75" customHeight="1">
      <c r="B144" s="141"/>
      <c r="E144" s="142"/>
      <c r="F144" s="215" t="s">
        <v>286</v>
      </c>
      <c r="G144" s="216"/>
      <c r="H144" s="216"/>
      <c r="I144" s="216"/>
      <c r="K144" s="143">
        <v>105.797</v>
      </c>
      <c r="R144" s="144"/>
      <c r="T144" s="145"/>
      <c r="AA144" s="146"/>
      <c r="AT144" s="142" t="s">
        <v>173</v>
      </c>
      <c r="AU144" s="142" t="s">
        <v>141</v>
      </c>
      <c r="AV144" s="142" t="s">
        <v>168</v>
      </c>
      <c r="AW144" s="142" t="s">
        <v>125</v>
      </c>
      <c r="AX144" s="142" t="s">
        <v>17</v>
      </c>
      <c r="AY144" s="142" t="s">
        <v>163</v>
      </c>
    </row>
    <row r="145" spans="2:63" s="113" customFormat="1" ht="30.75" customHeight="1">
      <c r="B145" s="114"/>
      <c r="D145" s="122" t="s">
        <v>384</v>
      </c>
      <c r="N145" s="223">
        <f>$BK$145</f>
        <v>0</v>
      </c>
      <c r="O145" s="222"/>
      <c r="P145" s="222"/>
      <c r="Q145" s="222"/>
      <c r="R145" s="117"/>
      <c r="T145" s="118"/>
      <c r="W145" s="119">
        <f>SUM($W$146:$W$151)</f>
        <v>2.5032479999999997</v>
      </c>
      <c r="Y145" s="119">
        <f>SUM($Y$146:$Y$151)</f>
        <v>0</v>
      </c>
      <c r="AA145" s="120">
        <f>SUM($AA$146:$AA$151)</f>
        <v>0</v>
      </c>
      <c r="AR145" s="116" t="s">
        <v>17</v>
      </c>
      <c r="AT145" s="116" t="s">
        <v>74</v>
      </c>
      <c r="AU145" s="116" t="s">
        <v>17</v>
      </c>
      <c r="AY145" s="116" t="s">
        <v>163</v>
      </c>
      <c r="BK145" s="121">
        <f>SUM($BK$146:$BK$151)</f>
        <v>0</v>
      </c>
    </row>
    <row r="146" spans="2:64" s="6" customFormat="1" ht="15.75" customHeight="1">
      <c r="B146" s="21"/>
      <c r="C146" s="123" t="s">
        <v>196</v>
      </c>
      <c r="D146" s="123" t="s">
        <v>164</v>
      </c>
      <c r="E146" s="124" t="s">
        <v>214</v>
      </c>
      <c r="F146" s="205" t="s">
        <v>215</v>
      </c>
      <c r="G146" s="206"/>
      <c r="H146" s="206"/>
      <c r="I146" s="206"/>
      <c r="J146" s="125" t="s">
        <v>216</v>
      </c>
      <c r="K146" s="126">
        <v>1.224</v>
      </c>
      <c r="L146" s="207">
        <v>0</v>
      </c>
      <c r="M146" s="206"/>
      <c r="N146" s="208">
        <f>ROUND($L$146*$K$146,2)</f>
        <v>0</v>
      </c>
      <c r="O146" s="206"/>
      <c r="P146" s="206"/>
      <c r="Q146" s="206"/>
      <c r="R146" s="22"/>
      <c r="T146" s="127"/>
      <c r="U146" s="28" t="s">
        <v>42</v>
      </c>
      <c r="V146" s="128">
        <v>0.136</v>
      </c>
      <c r="W146" s="128">
        <f>$V$146*$K$146</f>
        <v>0.166464</v>
      </c>
      <c r="X146" s="128">
        <v>0</v>
      </c>
      <c r="Y146" s="128">
        <f>$X$146*$K$146</f>
        <v>0</v>
      </c>
      <c r="Z146" s="128">
        <v>0</v>
      </c>
      <c r="AA146" s="129">
        <f>$Z$146*$K$146</f>
        <v>0</v>
      </c>
      <c r="AR146" s="6" t="s">
        <v>168</v>
      </c>
      <c r="AT146" s="6" t="s">
        <v>164</v>
      </c>
      <c r="AU146" s="6" t="s">
        <v>141</v>
      </c>
      <c r="AY146" s="6" t="s">
        <v>163</v>
      </c>
      <c r="BE146" s="82">
        <f>IF($U$146="základní",$N$146,0)</f>
        <v>0</v>
      </c>
      <c r="BF146" s="82">
        <f>IF($U$146="snížená",$N$146,0)</f>
        <v>0</v>
      </c>
      <c r="BG146" s="82">
        <f>IF($U$146="zákl. přenesená",$N$146,0)</f>
        <v>0</v>
      </c>
      <c r="BH146" s="82">
        <f>IF($U$146="sníž. přenesená",$N$146,0)</f>
        <v>0</v>
      </c>
      <c r="BI146" s="82">
        <f>IF($U$146="nulová",$N$146,0)</f>
        <v>0</v>
      </c>
      <c r="BJ146" s="6" t="s">
        <v>141</v>
      </c>
      <c r="BK146" s="82">
        <f>ROUND($L$146*$K$146,2)</f>
        <v>0</v>
      </c>
      <c r="BL146" s="6" t="s">
        <v>168</v>
      </c>
    </row>
    <row r="147" spans="2:64" s="6" customFormat="1" ht="27" customHeight="1">
      <c r="B147" s="21"/>
      <c r="C147" s="123" t="s">
        <v>22</v>
      </c>
      <c r="D147" s="123" t="s">
        <v>164</v>
      </c>
      <c r="E147" s="124" t="s">
        <v>217</v>
      </c>
      <c r="F147" s="205" t="s">
        <v>218</v>
      </c>
      <c r="G147" s="206"/>
      <c r="H147" s="206"/>
      <c r="I147" s="206"/>
      <c r="J147" s="125" t="s">
        <v>216</v>
      </c>
      <c r="K147" s="126">
        <v>1.224</v>
      </c>
      <c r="L147" s="207">
        <v>0</v>
      </c>
      <c r="M147" s="206"/>
      <c r="N147" s="208">
        <f>ROUND($L$147*$K$147,2)</f>
        <v>0</v>
      </c>
      <c r="O147" s="206"/>
      <c r="P147" s="206"/>
      <c r="Q147" s="206"/>
      <c r="R147" s="22"/>
      <c r="T147" s="127"/>
      <c r="U147" s="28" t="s">
        <v>42</v>
      </c>
      <c r="V147" s="128">
        <v>0.125</v>
      </c>
      <c r="W147" s="128">
        <f>$V$147*$K$147</f>
        <v>0.153</v>
      </c>
      <c r="X147" s="128">
        <v>0</v>
      </c>
      <c r="Y147" s="128">
        <f>$X$147*$K$147</f>
        <v>0</v>
      </c>
      <c r="Z147" s="128">
        <v>0</v>
      </c>
      <c r="AA147" s="129">
        <f>$Z$147*$K$147</f>
        <v>0</v>
      </c>
      <c r="AR147" s="6" t="s">
        <v>168</v>
      </c>
      <c r="AT147" s="6" t="s">
        <v>164</v>
      </c>
      <c r="AU147" s="6" t="s">
        <v>141</v>
      </c>
      <c r="AY147" s="6" t="s">
        <v>163</v>
      </c>
      <c r="BE147" s="82">
        <f>IF($U$147="základní",$N$147,0)</f>
        <v>0</v>
      </c>
      <c r="BF147" s="82">
        <f>IF($U$147="snížená",$N$147,0)</f>
        <v>0</v>
      </c>
      <c r="BG147" s="82">
        <f>IF($U$147="zákl. přenesená",$N$147,0)</f>
        <v>0</v>
      </c>
      <c r="BH147" s="82">
        <f>IF($U$147="sníž. přenesená",$N$147,0)</f>
        <v>0</v>
      </c>
      <c r="BI147" s="82">
        <f>IF($U$147="nulová",$N$147,0)</f>
        <v>0</v>
      </c>
      <c r="BJ147" s="6" t="s">
        <v>141</v>
      </c>
      <c r="BK147" s="82">
        <f>ROUND($L$147*$K$147,2)</f>
        <v>0</v>
      </c>
      <c r="BL147" s="6" t="s">
        <v>168</v>
      </c>
    </row>
    <row r="148" spans="2:64" s="6" customFormat="1" ht="27" customHeight="1">
      <c r="B148" s="21"/>
      <c r="C148" s="123" t="s">
        <v>201</v>
      </c>
      <c r="D148" s="123" t="s">
        <v>164</v>
      </c>
      <c r="E148" s="124" t="s">
        <v>220</v>
      </c>
      <c r="F148" s="205" t="s">
        <v>221</v>
      </c>
      <c r="G148" s="206"/>
      <c r="H148" s="206"/>
      <c r="I148" s="206"/>
      <c r="J148" s="125" t="s">
        <v>216</v>
      </c>
      <c r="K148" s="126">
        <v>18.828</v>
      </c>
      <c r="L148" s="207">
        <v>0</v>
      </c>
      <c r="M148" s="206"/>
      <c r="N148" s="208">
        <f>ROUND($L$148*$K$148,2)</f>
        <v>0</v>
      </c>
      <c r="O148" s="206"/>
      <c r="P148" s="206"/>
      <c r="Q148" s="206"/>
      <c r="R148" s="22"/>
      <c r="T148" s="127"/>
      <c r="U148" s="28" t="s">
        <v>42</v>
      </c>
      <c r="V148" s="128">
        <v>0.006</v>
      </c>
      <c r="W148" s="128">
        <f>$V$148*$K$148</f>
        <v>0.112968</v>
      </c>
      <c r="X148" s="128">
        <v>0</v>
      </c>
      <c r="Y148" s="128">
        <f>$X$148*$K$148</f>
        <v>0</v>
      </c>
      <c r="Z148" s="128">
        <v>0</v>
      </c>
      <c r="AA148" s="129">
        <f>$Z$148*$K$148</f>
        <v>0</v>
      </c>
      <c r="AR148" s="6" t="s">
        <v>168</v>
      </c>
      <c r="AT148" s="6" t="s">
        <v>164</v>
      </c>
      <c r="AU148" s="6" t="s">
        <v>141</v>
      </c>
      <c r="AY148" s="6" t="s">
        <v>163</v>
      </c>
      <c r="BE148" s="82">
        <f>IF($U$148="základní",$N$148,0)</f>
        <v>0</v>
      </c>
      <c r="BF148" s="82">
        <f>IF($U$148="snížená",$N$148,0)</f>
        <v>0</v>
      </c>
      <c r="BG148" s="82">
        <f>IF($U$148="zákl. přenesená",$N$148,0)</f>
        <v>0</v>
      </c>
      <c r="BH148" s="82">
        <f>IF($U$148="sníž. přenesená",$N$148,0)</f>
        <v>0</v>
      </c>
      <c r="BI148" s="82">
        <f>IF($U$148="nulová",$N$148,0)</f>
        <v>0</v>
      </c>
      <c r="BJ148" s="6" t="s">
        <v>141</v>
      </c>
      <c r="BK148" s="82">
        <f>ROUND($L$148*$K$148,2)</f>
        <v>0</v>
      </c>
      <c r="BL148" s="6" t="s">
        <v>168</v>
      </c>
    </row>
    <row r="149" spans="2:51" s="6" customFormat="1" ht="15.75" customHeight="1">
      <c r="B149" s="130"/>
      <c r="E149" s="131"/>
      <c r="F149" s="209" t="s">
        <v>391</v>
      </c>
      <c r="G149" s="210"/>
      <c r="H149" s="210"/>
      <c r="I149" s="210"/>
      <c r="K149" s="132">
        <v>18.828</v>
      </c>
      <c r="R149" s="133"/>
      <c r="T149" s="134"/>
      <c r="AA149" s="135"/>
      <c r="AT149" s="131" t="s">
        <v>173</v>
      </c>
      <c r="AU149" s="131" t="s">
        <v>141</v>
      </c>
      <c r="AV149" s="131" t="s">
        <v>141</v>
      </c>
      <c r="AW149" s="131" t="s">
        <v>125</v>
      </c>
      <c r="AX149" s="131" t="s">
        <v>17</v>
      </c>
      <c r="AY149" s="131" t="s">
        <v>163</v>
      </c>
    </row>
    <row r="150" spans="2:64" s="6" customFormat="1" ht="27" customHeight="1">
      <c r="B150" s="21"/>
      <c r="C150" s="123" t="s">
        <v>205</v>
      </c>
      <c r="D150" s="123" t="s">
        <v>164</v>
      </c>
      <c r="E150" s="124" t="s">
        <v>224</v>
      </c>
      <c r="F150" s="205" t="s">
        <v>225</v>
      </c>
      <c r="G150" s="206"/>
      <c r="H150" s="206"/>
      <c r="I150" s="206"/>
      <c r="J150" s="125" t="s">
        <v>216</v>
      </c>
      <c r="K150" s="126">
        <v>1.224</v>
      </c>
      <c r="L150" s="207">
        <v>0</v>
      </c>
      <c r="M150" s="206"/>
      <c r="N150" s="208">
        <f>ROUND($L$150*$K$150,2)</f>
        <v>0</v>
      </c>
      <c r="O150" s="206"/>
      <c r="P150" s="206"/>
      <c r="Q150" s="206"/>
      <c r="R150" s="22"/>
      <c r="T150" s="127"/>
      <c r="U150" s="28" t="s">
        <v>42</v>
      </c>
      <c r="V150" s="128">
        <v>0</v>
      </c>
      <c r="W150" s="128">
        <f>$V$150*$K$150</f>
        <v>0</v>
      </c>
      <c r="X150" s="128">
        <v>0</v>
      </c>
      <c r="Y150" s="128">
        <f>$X$150*$K$150</f>
        <v>0</v>
      </c>
      <c r="Z150" s="128">
        <v>0</v>
      </c>
      <c r="AA150" s="129">
        <f>$Z$150*$K$150</f>
        <v>0</v>
      </c>
      <c r="AR150" s="6" t="s">
        <v>168</v>
      </c>
      <c r="AT150" s="6" t="s">
        <v>164</v>
      </c>
      <c r="AU150" s="6" t="s">
        <v>141</v>
      </c>
      <c r="AY150" s="6" t="s">
        <v>163</v>
      </c>
      <c r="BE150" s="82">
        <f>IF($U$150="základní",$N$150,0)</f>
        <v>0</v>
      </c>
      <c r="BF150" s="82">
        <f>IF($U$150="snížená",$N$150,0)</f>
        <v>0</v>
      </c>
      <c r="BG150" s="82">
        <f>IF($U$150="zákl. přenesená",$N$150,0)</f>
        <v>0</v>
      </c>
      <c r="BH150" s="82">
        <f>IF($U$150="sníž. přenesená",$N$150,0)</f>
        <v>0</v>
      </c>
      <c r="BI150" s="82">
        <f>IF($U$150="nulová",$N$150,0)</f>
        <v>0</v>
      </c>
      <c r="BJ150" s="6" t="s">
        <v>141</v>
      </c>
      <c r="BK150" s="82">
        <f>ROUND($L$150*$K$150,2)</f>
        <v>0</v>
      </c>
      <c r="BL150" s="6" t="s">
        <v>168</v>
      </c>
    </row>
    <row r="151" spans="2:64" s="6" customFormat="1" ht="15.75" customHeight="1">
      <c r="B151" s="21"/>
      <c r="C151" s="123" t="s">
        <v>209</v>
      </c>
      <c r="D151" s="123" t="s">
        <v>164</v>
      </c>
      <c r="E151" s="124" t="s">
        <v>227</v>
      </c>
      <c r="F151" s="205" t="s">
        <v>228</v>
      </c>
      <c r="G151" s="206"/>
      <c r="H151" s="206"/>
      <c r="I151" s="206"/>
      <c r="J151" s="125" t="s">
        <v>216</v>
      </c>
      <c r="K151" s="126">
        <v>6.512</v>
      </c>
      <c r="L151" s="207">
        <v>0</v>
      </c>
      <c r="M151" s="206"/>
      <c r="N151" s="208">
        <f>ROUND($L$151*$K$151,2)</f>
        <v>0</v>
      </c>
      <c r="O151" s="206"/>
      <c r="P151" s="206"/>
      <c r="Q151" s="206"/>
      <c r="R151" s="22"/>
      <c r="T151" s="127"/>
      <c r="U151" s="28" t="s">
        <v>42</v>
      </c>
      <c r="V151" s="128">
        <v>0.318</v>
      </c>
      <c r="W151" s="128">
        <f>$V$151*$K$151</f>
        <v>2.0708159999999998</v>
      </c>
      <c r="X151" s="128">
        <v>0</v>
      </c>
      <c r="Y151" s="128">
        <f>$X$151*$K$151</f>
        <v>0</v>
      </c>
      <c r="Z151" s="128">
        <v>0</v>
      </c>
      <c r="AA151" s="129">
        <f>$Z$151*$K$151</f>
        <v>0</v>
      </c>
      <c r="AR151" s="6" t="s">
        <v>168</v>
      </c>
      <c r="AT151" s="6" t="s">
        <v>164</v>
      </c>
      <c r="AU151" s="6" t="s">
        <v>141</v>
      </c>
      <c r="AY151" s="6" t="s">
        <v>163</v>
      </c>
      <c r="BE151" s="82">
        <f>IF($U$151="základní",$N$151,0)</f>
        <v>0</v>
      </c>
      <c r="BF151" s="82">
        <f>IF($U$151="snížená",$N$151,0)</f>
        <v>0</v>
      </c>
      <c r="BG151" s="82">
        <f>IF($U$151="zákl. přenesená",$N$151,0)</f>
        <v>0</v>
      </c>
      <c r="BH151" s="82">
        <f>IF($U$151="sníž. přenesená",$N$151,0)</f>
        <v>0</v>
      </c>
      <c r="BI151" s="82">
        <f>IF($U$151="nulová",$N$151,0)</f>
        <v>0</v>
      </c>
      <c r="BJ151" s="6" t="s">
        <v>141</v>
      </c>
      <c r="BK151" s="82">
        <f>ROUND($L$151*$K$151,2)</f>
        <v>0</v>
      </c>
      <c r="BL151" s="6" t="s">
        <v>168</v>
      </c>
    </row>
    <row r="152" spans="2:63" s="113" customFormat="1" ht="37.5" customHeight="1">
      <c r="B152" s="114"/>
      <c r="D152" s="115" t="s">
        <v>131</v>
      </c>
      <c r="N152" s="201">
        <f>$BK$152</f>
        <v>0</v>
      </c>
      <c r="O152" s="222"/>
      <c r="P152" s="222"/>
      <c r="Q152" s="222"/>
      <c r="R152" s="117"/>
      <c r="T152" s="118"/>
      <c r="W152" s="119">
        <f>$W$153+$W$161+$W$167</f>
        <v>95.96718899999999</v>
      </c>
      <c r="Y152" s="119">
        <f>$Y$153+$Y$161+$Y$167</f>
        <v>0.30844307</v>
      </c>
      <c r="AA152" s="120">
        <f>$AA$153+$AA$161+$AA$167</f>
        <v>1.2243858</v>
      </c>
      <c r="AR152" s="116" t="s">
        <v>141</v>
      </c>
      <c r="AT152" s="116" t="s">
        <v>74</v>
      </c>
      <c r="AU152" s="116" t="s">
        <v>75</v>
      </c>
      <c r="AY152" s="116" t="s">
        <v>163</v>
      </c>
      <c r="BK152" s="121">
        <f>$BK$153+$BK$161+$BK$167</f>
        <v>0</v>
      </c>
    </row>
    <row r="153" spans="2:63" s="113" customFormat="1" ht="21" customHeight="1">
      <c r="B153" s="114"/>
      <c r="D153" s="122" t="s">
        <v>134</v>
      </c>
      <c r="N153" s="223">
        <f>$BK$153</f>
        <v>0</v>
      </c>
      <c r="O153" s="222"/>
      <c r="P153" s="222"/>
      <c r="Q153" s="222"/>
      <c r="R153" s="117"/>
      <c r="T153" s="118"/>
      <c r="W153" s="119">
        <f>SUM($W$154:$W$160)</f>
        <v>14.287360000000001</v>
      </c>
      <c r="Y153" s="119">
        <f>SUM($Y$154:$Y$160)</f>
        <v>0.132</v>
      </c>
      <c r="AA153" s="120">
        <f>SUM($AA$154:$AA$160)</f>
        <v>1.179168</v>
      </c>
      <c r="AR153" s="116" t="s">
        <v>141</v>
      </c>
      <c r="AT153" s="116" t="s">
        <v>74</v>
      </c>
      <c r="AU153" s="116" t="s">
        <v>17</v>
      </c>
      <c r="AY153" s="116" t="s">
        <v>163</v>
      </c>
      <c r="BK153" s="121">
        <f>SUM($BK$154:$BK$160)</f>
        <v>0</v>
      </c>
    </row>
    <row r="154" spans="2:64" s="6" customFormat="1" ht="27" customHeight="1">
      <c r="B154" s="21"/>
      <c r="C154" s="123" t="s">
        <v>213</v>
      </c>
      <c r="D154" s="123" t="s">
        <v>164</v>
      </c>
      <c r="E154" s="124" t="s">
        <v>392</v>
      </c>
      <c r="F154" s="205" t="s">
        <v>393</v>
      </c>
      <c r="G154" s="206"/>
      <c r="H154" s="206"/>
      <c r="I154" s="206"/>
      <c r="J154" s="125" t="s">
        <v>171</v>
      </c>
      <c r="K154" s="126">
        <v>58.24</v>
      </c>
      <c r="L154" s="207">
        <v>0</v>
      </c>
      <c r="M154" s="206"/>
      <c r="N154" s="208">
        <f>ROUND($L$154*$K$154,2)</f>
        <v>0</v>
      </c>
      <c r="O154" s="206"/>
      <c r="P154" s="206"/>
      <c r="Q154" s="206"/>
      <c r="R154" s="22"/>
      <c r="T154" s="127"/>
      <c r="U154" s="28" t="s">
        <v>42</v>
      </c>
      <c r="V154" s="128">
        <v>0.164</v>
      </c>
      <c r="W154" s="128">
        <f>$V$154*$K$154</f>
        <v>9.55136</v>
      </c>
      <c r="X154" s="128">
        <v>0</v>
      </c>
      <c r="Y154" s="128">
        <f>$X$154*$K$154</f>
        <v>0</v>
      </c>
      <c r="Z154" s="128">
        <v>0.01695</v>
      </c>
      <c r="AA154" s="129">
        <f>$Z$154*$K$154</f>
        <v>0.987168</v>
      </c>
      <c r="AR154" s="6" t="s">
        <v>168</v>
      </c>
      <c r="AT154" s="6" t="s">
        <v>164</v>
      </c>
      <c r="AU154" s="6" t="s">
        <v>141</v>
      </c>
      <c r="AY154" s="6" t="s">
        <v>163</v>
      </c>
      <c r="BE154" s="82">
        <f>IF($U$154="základní",$N$154,0)</f>
        <v>0</v>
      </c>
      <c r="BF154" s="82">
        <f>IF($U$154="snížená",$N$154,0)</f>
        <v>0</v>
      </c>
      <c r="BG154" s="82">
        <f>IF($U$154="zákl. přenesená",$N$154,0)</f>
        <v>0</v>
      </c>
      <c r="BH154" s="82">
        <f>IF($U$154="sníž. přenesená",$N$154,0)</f>
        <v>0</v>
      </c>
      <c r="BI154" s="82">
        <f>IF($U$154="nulová",$N$154,0)</f>
        <v>0</v>
      </c>
      <c r="BJ154" s="6" t="s">
        <v>141</v>
      </c>
      <c r="BK154" s="82">
        <f>ROUND($L$154*$K$154,2)</f>
        <v>0</v>
      </c>
      <c r="BL154" s="6" t="s">
        <v>168</v>
      </c>
    </row>
    <row r="155" spans="2:51" s="6" customFormat="1" ht="15.75" customHeight="1">
      <c r="B155" s="130"/>
      <c r="E155" s="131"/>
      <c r="F155" s="209" t="s">
        <v>408</v>
      </c>
      <c r="G155" s="210"/>
      <c r="H155" s="210"/>
      <c r="I155" s="210"/>
      <c r="K155" s="132">
        <v>58.24</v>
      </c>
      <c r="R155" s="133"/>
      <c r="T155" s="134"/>
      <c r="AA155" s="135"/>
      <c r="AT155" s="131" t="s">
        <v>173</v>
      </c>
      <c r="AU155" s="131" t="s">
        <v>141</v>
      </c>
      <c r="AV155" s="131" t="s">
        <v>141</v>
      </c>
      <c r="AW155" s="131" t="s">
        <v>125</v>
      </c>
      <c r="AX155" s="131" t="s">
        <v>17</v>
      </c>
      <c r="AY155" s="131" t="s">
        <v>163</v>
      </c>
    </row>
    <row r="156" spans="2:64" s="6" customFormat="1" ht="15.75" customHeight="1">
      <c r="B156" s="21"/>
      <c r="C156" s="123" t="s">
        <v>8</v>
      </c>
      <c r="D156" s="123" t="s">
        <v>164</v>
      </c>
      <c r="E156" s="124" t="s">
        <v>258</v>
      </c>
      <c r="F156" s="205" t="s">
        <v>259</v>
      </c>
      <c r="G156" s="206"/>
      <c r="H156" s="206"/>
      <c r="I156" s="206"/>
      <c r="J156" s="125" t="s">
        <v>167</v>
      </c>
      <c r="K156" s="126">
        <v>8</v>
      </c>
      <c r="L156" s="207">
        <v>0</v>
      </c>
      <c r="M156" s="206"/>
      <c r="N156" s="208">
        <f>ROUND($L$156*$K$156,2)</f>
        <v>0</v>
      </c>
      <c r="O156" s="206"/>
      <c r="P156" s="206"/>
      <c r="Q156" s="206"/>
      <c r="R156" s="22"/>
      <c r="T156" s="127"/>
      <c r="U156" s="28" t="s">
        <v>42</v>
      </c>
      <c r="V156" s="128">
        <v>0.542</v>
      </c>
      <c r="W156" s="128">
        <f>$V$156*$K$156</f>
        <v>4.336</v>
      </c>
      <c r="X156" s="128">
        <v>0</v>
      </c>
      <c r="Y156" s="128">
        <f>$X$156*$K$156</f>
        <v>0</v>
      </c>
      <c r="Z156" s="128">
        <v>0</v>
      </c>
      <c r="AA156" s="129">
        <f>$Z$156*$K$156</f>
        <v>0</v>
      </c>
      <c r="AR156" s="6" t="s">
        <v>219</v>
      </c>
      <c r="AT156" s="6" t="s">
        <v>164</v>
      </c>
      <c r="AU156" s="6" t="s">
        <v>141</v>
      </c>
      <c r="AY156" s="6" t="s">
        <v>163</v>
      </c>
      <c r="BE156" s="82">
        <f>IF($U$156="základní",$N$156,0)</f>
        <v>0</v>
      </c>
      <c r="BF156" s="82">
        <f>IF($U$156="snížená",$N$156,0)</f>
        <v>0</v>
      </c>
      <c r="BG156" s="82">
        <f>IF($U$156="zákl. přenesená",$N$156,0)</f>
        <v>0</v>
      </c>
      <c r="BH156" s="82">
        <f>IF($U$156="sníž. přenesená",$N$156,0)</f>
        <v>0</v>
      </c>
      <c r="BI156" s="82">
        <f>IF($U$156="nulová",$N$156,0)</f>
        <v>0</v>
      </c>
      <c r="BJ156" s="6" t="s">
        <v>141</v>
      </c>
      <c r="BK156" s="82">
        <f>ROUND($L$156*$K$156,2)</f>
        <v>0</v>
      </c>
      <c r="BL156" s="6" t="s">
        <v>219</v>
      </c>
    </row>
    <row r="157" spans="2:64" s="6" customFormat="1" ht="15.75" customHeight="1">
      <c r="B157" s="21"/>
      <c r="C157" s="136" t="s">
        <v>219</v>
      </c>
      <c r="D157" s="136" t="s">
        <v>190</v>
      </c>
      <c r="E157" s="137" t="s">
        <v>261</v>
      </c>
      <c r="F157" s="211" t="s">
        <v>262</v>
      </c>
      <c r="G157" s="212"/>
      <c r="H157" s="212"/>
      <c r="I157" s="212"/>
      <c r="J157" s="138" t="s">
        <v>167</v>
      </c>
      <c r="K157" s="139">
        <v>8</v>
      </c>
      <c r="L157" s="213">
        <v>0</v>
      </c>
      <c r="M157" s="212"/>
      <c r="N157" s="214">
        <f>ROUND($L$157*$K$157,2)</f>
        <v>0</v>
      </c>
      <c r="O157" s="206"/>
      <c r="P157" s="206"/>
      <c r="Q157" s="206"/>
      <c r="R157" s="22"/>
      <c r="T157" s="127"/>
      <c r="U157" s="28" t="s">
        <v>42</v>
      </c>
      <c r="V157" s="128">
        <v>0</v>
      </c>
      <c r="W157" s="128">
        <f>$V$157*$K$157</f>
        <v>0</v>
      </c>
      <c r="X157" s="128">
        <v>0.001</v>
      </c>
      <c r="Y157" s="128">
        <f>$X$157*$K$157</f>
        <v>0.008</v>
      </c>
      <c r="Z157" s="128">
        <v>0</v>
      </c>
      <c r="AA157" s="129">
        <f>$Z$157*$K$157</f>
        <v>0</v>
      </c>
      <c r="AR157" s="6" t="s">
        <v>263</v>
      </c>
      <c r="AT157" s="6" t="s">
        <v>190</v>
      </c>
      <c r="AU157" s="6" t="s">
        <v>141</v>
      </c>
      <c r="AY157" s="6" t="s">
        <v>163</v>
      </c>
      <c r="BE157" s="82">
        <f>IF($U$157="základní",$N$157,0)</f>
        <v>0</v>
      </c>
      <c r="BF157" s="82">
        <f>IF($U$157="snížená",$N$157,0)</f>
        <v>0</v>
      </c>
      <c r="BG157" s="82">
        <f>IF($U$157="zákl. přenesená",$N$157,0)</f>
        <v>0</v>
      </c>
      <c r="BH157" s="82">
        <f>IF($U$157="sníž. přenesená",$N$157,0)</f>
        <v>0</v>
      </c>
      <c r="BI157" s="82">
        <f>IF($U$157="nulová",$N$157,0)</f>
        <v>0</v>
      </c>
      <c r="BJ157" s="6" t="s">
        <v>141</v>
      </c>
      <c r="BK157" s="82">
        <f>ROUND($L$157*$K$157,2)</f>
        <v>0</v>
      </c>
      <c r="BL157" s="6" t="s">
        <v>219</v>
      </c>
    </row>
    <row r="158" spans="2:64" s="6" customFormat="1" ht="27" customHeight="1">
      <c r="B158" s="21"/>
      <c r="C158" s="123" t="s">
        <v>223</v>
      </c>
      <c r="D158" s="123" t="s">
        <v>164</v>
      </c>
      <c r="E158" s="124" t="s">
        <v>265</v>
      </c>
      <c r="F158" s="205" t="s">
        <v>266</v>
      </c>
      <c r="G158" s="206"/>
      <c r="H158" s="206"/>
      <c r="I158" s="206"/>
      <c r="J158" s="125" t="s">
        <v>167</v>
      </c>
      <c r="K158" s="126">
        <v>8</v>
      </c>
      <c r="L158" s="207">
        <v>0</v>
      </c>
      <c r="M158" s="206"/>
      <c r="N158" s="208">
        <f>ROUND($L$158*$K$158,2)</f>
        <v>0</v>
      </c>
      <c r="O158" s="206"/>
      <c r="P158" s="206"/>
      <c r="Q158" s="206"/>
      <c r="R158" s="22"/>
      <c r="T158" s="127"/>
      <c r="U158" s="28" t="s">
        <v>42</v>
      </c>
      <c r="V158" s="128">
        <v>0.05</v>
      </c>
      <c r="W158" s="128">
        <f>$V$158*$K$158</f>
        <v>0.4</v>
      </c>
      <c r="X158" s="128">
        <v>0</v>
      </c>
      <c r="Y158" s="128">
        <f>$X$158*$K$158</f>
        <v>0</v>
      </c>
      <c r="Z158" s="128">
        <v>0.024</v>
      </c>
      <c r="AA158" s="129">
        <f>$Z$158*$K$158</f>
        <v>0.192</v>
      </c>
      <c r="AR158" s="6" t="s">
        <v>219</v>
      </c>
      <c r="AT158" s="6" t="s">
        <v>164</v>
      </c>
      <c r="AU158" s="6" t="s">
        <v>141</v>
      </c>
      <c r="AY158" s="6" t="s">
        <v>163</v>
      </c>
      <c r="BE158" s="82">
        <f>IF($U$158="základní",$N$158,0)</f>
        <v>0</v>
      </c>
      <c r="BF158" s="82">
        <f>IF($U$158="snížená",$N$158,0)</f>
        <v>0</v>
      </c>
      <c r="BG158" s="82">
        <f>IF($U$158="zákl. přenesená",$N$158,0)</f>
        <v>0</v>
      </c>
      <c r="BH158" s="82">
        <f>IF($U$158="sníž. přenesená",$N$158,0)</f>
        <v>0</v>
      </c>
      <c r="BI158" s="82">
        <f>IF($U$158="nulová",$N$158,0)</f>
        <v>0</v>
      </c>
      <c r="BJ158" s="6" t="s">
        <v>141</v>
      </c>
      <c r="BK158" s="82">
        <f>ROUND($L$158*$K$158,2)</f>
        <v>0</v>
      </c>
      <c r="BL158" s="6" t="s">
        <v>219</v>
      </c>
    </row>
    <row r="159" spans="2:64" s="6" customFormat="1" ht="27" customHeight="1">
      <c r="B159" s="21"/>
      <c r="C159" s="136" t="s">
        <v>226</v>
      </c>
      <c r="D159" s="136" t="s">
        <v>190</v>
      </c>
      <c r="E159" s="137" t="s">
        <v>268</v>
      </c>
      <c r="F159" s="211" t="s">
        <v>269</v>
      </c>
      <c r="G159" s="212"/>
      <c r="H159" s="212"/>
      <c r="I159" s="212"/>
      <c r="J159" s="138" t="s">
        <v>167</v>
      </c>
      <c r="K159" s="139">
        <v>8</v>
      </c>
      <c r="L159" s="213">
        <v>0</v>
      </c>
      <c r="M159" s="212"/>
      <c r="N159" s="214">
        <f>ROUND($L$159*$K$159,2)</f>
        <v>0</v>
      </c>
      <c r="O159" s="206"/>
      <c r="P159" s="206"/>
      <c r="Q159" s="206"/>
      <c r="R159" s="22"/>
      <c r="T159" s="127"/>
      <c r="U159" s="28" t="s">
        <v>42</v>
      </c>
      <c r="V159" s="128">
        <v>0</v>
      </c>
      <c r="W159" s="128">
        <f>$V$159*$K$159</f>
        <v>0</v>
      </c>
      <c r="X159" s="128">
        <v>0.0155</v>
      </c>
      <c r="Y159" s="128">
        <f>$X$159*$K$159</f>
        <v>0.124</v>
      </c>
      <c r="Z159" s="128">
        <v>0</v>
      </c>
      <c r="AA159" s="129">
        <f>$Z$159*$K$159</f>
        <v>0</v>
      </c>
      <c r="AR159" s="6" t="s">
        <v>263</v>
      </c>
      <c r="AT159" s="6" t="s">
        <v>190</v>
      </c>
      <c r="AU159" s="6" t="s">
        <v>141</v>
      </c>
      <c r="AY159" s="6" t="s">
        <v>163</v>
      </c>
      <c r="BE159" s="82">
        <f>IF($U$159="základní",$N$159,0)</f>
        <v>0</v>
      </c>
      <c r="BF159" s="82">
        <f>IF($U$159="snížená",$N$159,0)</f>
        <v>0</v>
      </c>
      <c r="BG159" s="82">
        <f>IF($U$159="zákl. přenesená",$N$159,0)</f>
        <v>0</v>
      </c>
      <c r="BH159" s="82">
        <f>IF($U$159="sníž. přenesená",$N$159,0)</f>
        <v>0</v>
      </c>
      <c r="BI159" s="82">
        <f>IF($U$159="nulová",$N$159,0)</f>
        <v>0</v>
      </c>
      <c r="BJ159" s="6" t="s">
        <v>141</v>
      </c>
      <c r="BK159" s="82">
        <f>ROUND($L$159*$K$159,2)</f>
        <v>0</v>
      </c>
      <c r="BL159" s="6" t="s">
        <v>219</v>
      </c>
    </row>
    <row r="160" spans="2:64" s="6" customFormat="1" ht="27" customHeight="1">
      <c r="B160" s="21"/>
      <c r="C160" s="123" t="s">
        <v>229</v>
      </c>
      <c r="D160" s="123" t="s">
        <v>164</v>
      </c>
      <c r="E160" s="124" t="s">
        <v>273</v>
      </c>
      <c r="F160" s="205" t="s">
        <v>274</v>
      </c>
      <c r="G160" s="206"/>
      <c r="H160" s="206"/>
      <c r="I160" s="206"/>
      <c r="J160" s="125" t="s">
        <v>240</v>
      </c>
      <c r="K160" s="140">
        <v>0</v>
      </c>
      <c r="L160" s="207">
        <v>0</v>
      </c>
      <c r="M160" s="206"/>
      <c r="N160" s="208">
        <f>ROUND($L$160*$K$160,2)</f>
        <v>0</v>
      </c>
      <c r="O160" s="206"/>
      <c r="P160" s="206"/>
      <c r="Q160" s="206"/>
      <c r="R160" s="22"/>
      <c r="T160" s="127"/>
      <c r="U160" s="28" t="s">
        <v>42</v>
      </c>
      <c r="V160" s="128">
        <v>0</v>
      </c>
      <c r="W160" s="128">
        <f>$V$160*$K$160</f>
        <v>0</v>
      </c>
      <c r="X160" s="128">
        <v>0</v>
      </c>
      <c r="Y160" s="128">
        <f>$X$160*$K$160</f>
        <v>0</v>
      </c>
      <c r="Z160" s="128">
        <v>0</v>
      </c>
      <c r="AA160" s="129">
        <f>$Z$160*$K$160</f>
        <v>0</v>
      </c>
      <c r="AR160" s="6" t="s">
        <v>219</v>
      </c>
      <c r="AT160" s="6" t="s">
        <v>164</v>
      </c>
      <c r="AU160" s="6" t="s">
        <v>141</v>
      </c>
      <c r="AY160" s="6" t="s">
        <v>163</v>
      </c>
      <c r="BE160" s="82">
        <f>IF($U$160="základní",$N$160,0)</f>
        <v>0</v>
      </c>
      <c r="BF160" s="82">
        <f>IF($U$160="snížená",$N$160,0)</f>
        <v>0</v>
      </c>
      <c r="BG160" s="82">
        <f>IF($U$160="zákl. přenesená",$N$160,0)</f>
        <v>0</v>
      </c>
      <c r="BH160" s="82">
        <f>IF($U$160="sníž. přenesená",$N$160,0)</f>
        <v>0</v>
      </c>
      <c r="BI160" s="82">
        <f>IF($U$160="nulová",$N$160,0)</f>
        <v>0</v>
      </c>
      <c r="BJ160" s="6" t="s">
        <v>141</v>
      </c>
      <c r="BK160" s="82">
        <f>ROUND($L$160*$K$160,2)</f>
        <v>0</v>
      </c>
      <c r="BL160" s="6" t="s">
        <v>219</v>
      </c>
    </row>
    <row r="161" spans="2:63" s="113" customFormat="1" ht="30.75" customHeight="1">
      <c r="B161" s="114"/>
      <c r="D161" s="122" t="s">
        <v>135</v>
      </c>
      <c r="N161" s="223">
        <f>$BK$161</f>
        <v>0</v>
      </c>
      <c r="O161" s="222"/>
      <c r="P161" s="222"/>
      <c r="Q161" s="222"/>
      <c r="R161" s="117"/>
      <c r="T161" s="118"/>
      <c r="W161" s="119">
        <f>SUM($W$162:$W$166)</f>
        <v>28.432149999999993</v>
      </c>
      <c r="Y161" s="119">
        <f>SUM($Y$162:$Y$166)</f>
        <v>0.017369899999999997</v>
      </c>
      <c r="AA161" s="120">
        <f>SUM($AA$162:$AA$166)</f>
        <v>0</v>
      </c>
      <c r="AR161" s="116" t="s">
        <v>141</v>
      </c>
      <c r="AT161" s="116" t="s">
        <v>74</v>
      </c>
      <c r="AU161" s="116" t="s">
        <v>17</v>
      </c>
      <c r="AY161" s="116" t="s">
        <v>163</v>
      </c>
      <c r="BK161" s="121">
        <f>SUM($BK$162:$BK$166)</f>
        <v>0</v>
      </c>
    </row>
    <row r="162" spans="2:64" s="6" customFormat="1" ht="27" customHeight="1">
      <c r="B162" s="21"/>
      <c r="C162" s="123" t="s">
        <v>232</v>
      </c>
      <c r="D162" s="123" t="s">
        <v>164</v>
      </c>
      <c r="E162" s="124" t="s">
        <v>276</v>
      </c>
      <c r="F162" s="205" t="s">
        <v>277</v>
      </c>
      <c r="G162" s="206"/>
      <c r="H162" s="206"/>
      <c r="I162" s="206"/>
      <c r="J162" s="125" t="s">
        <v>171</v>
      </c>
      <c r="K162" s="126">
        <v>18.56</v>
      </c>
      <c r="L162" s="207">
        <v>0</v>
      </c>
      <c r="M162" s="206"/>
      <c r="N162" s="208">
        <f>ROUND($L$162*$K$162,2)</f>
        <v>0</v>
      </c>
      <c r="O162" s="206"/>
      <c r="P162" s="206"/>
      <c r="Q162" s="206"/>
      <c r="R162" s="22"/>
      <c r="T162" s="127"/>
      <c r="U162" s="28" t="s">
        <v>42</v>
      </c>
      <c r="V162" s="128">
        <v>0.287</v>
      </c>
      <c r="W162" s="128">
        <f>$V$162*$K$162</f>
        <v>5.326719999999999</v>
      </c>
      <c r="X162" s="128">
        <v>0.00016</v>
      </c>
      <c r="Y162" s="128">
        <f>$X$162*$K$162</f>
        <v>0.0029696</v>
      </c>
      <c r="Z162" s="128">
        <v>0</v>
      </c>
      <c r="AA162" s="129">
        <f>$Z$162*$K$162</f>
        <v>0</v>
      </c>
      <c r="AR162" s="6" t="s">
        <v>219</v>
      </c>
      <c r="AT162" s="6" t="s">
        <v>164</v>
      </c>
      <c r="AU162" s="6" t="s">
        <v>141</v>
      </c>
      <c r="AY162" s="6" t="s">
        <v>163</v>
      </c>
      <c r="BE162" s="82">
        <f>IF($U$162="základní",$N$162,0)</f>
        <v>0</v>
      </c>
      <c r="BF162" s="82">
        <f>IF($U$162="snížená",$N$162,0)</f>
        <v>0</v>
      </c>
      <c r="BG162" s="82">
        <f>IF($U$162="zákl. přenesená",$N$162,0)</f>
        <v>0</v>
      </c>
      <c r="BH162" s="82">
        <f>IF($U$162="sníž. přenesená",$N$162,0)</f>
        <v>0</v>
      </c>
      <c r="BI162" s="82">
        <f>IF($U$162="nulová",$N$162,0)</f>
        <v>0</v>
      </c>
      <c r="BJ162" s="6" t="s">
        <v>141</v>
      </c>
      <c r="BK162" s="82">
        <f>ROUND($L$162*$K$162,2)</f>
        <v>0</v>
      </c>
      <c r="BL162" s="6" t="s">
        <v>219</v>
      </c>
    </row>
    <row r="163" spans="2:51" s="6" customFormat="1" ht="15.75" customHeight="1">
      <c r="B163" s="130"/>
      <c r="E163" s="131"/>
      <c r="F163" s="209" t="s">
        <v>409</v>
      </c>
      <c r="G163" s="210"/>
      <c r="H163" s="210"/>
      <c r="I163" s="210"/>
      <c r="K163" s="132">
        <v>18.56</v>
      </c>
      <c r="R163" s="133"/>
      <c r="T163" s="134"/>
      <c r="AA163" s="135"/>
      <c r="AT163" s="131" t="s">
        <v>173</v>
      </c>
      <c r="AU163" s="131" t="s">
        <v>141</v>
      </c>
      <c r="AV163" s="131" t="s">
        <v>141</v>
      </c>
      <c r="AW163" s="131" t="s">
        <v>125</v>
      </c>
      <c r="AX163" s="131" t="s">
        <v>17</v>
      </c>
      <c r="AY163" s="131" t="s">
        <v>163</v>
      </c>
    </row>
    <row r="164" spans="2:64" s="6" customFormat="1" ht="39" customHeight="1">
      <c r="B164" s="21"/>
      <c r="C164" s="123" t="s">
        <v>7</v>
      </c>
      <c r="D164" s="123" t="s">
        <v>164</v>
      </c>
      <c r="E164" s="124" t="s">
        <v>280</v>
      </c>
      <c r="F164" s="205" t="s">
        <v>281</v>
      </c>
      <c r="G164" s="206"/>
      <c r="H164" s="206"/>
      <c r="I164" s="206"/>
      <c r="J164" s="125" t="s">
        <v>171</v>
      </c>
      <c r="K164" s="126">
        <v>35.91</v>
      </c>
      <c r="L164" s="207">
        <v>0</v>
      </c>
      <c r="M164" s="206"/>
      <c r="N164" s="208">
        <f>ROUND($L$164*$K$164,2)</f>
        <v>0</v>
      </c>
      <c r="O164" s="206"/>
      <c r="P164" s="206"/>
      <c r="Q164" s="206"/>
      <c r="R164" s="22"/>
      <c r="T164" s="127"/>
      <c r="U164" s="28" t="s">
        <v>42</v>
      </c>
      <c r="V164" s="128">
        <v>0.506</v>
      </c>
      <c r="W164" s="128">
        <f>$V$164*$K$164</f>
        <v>18.17046</v>
      </c>
      <c r="X164" s="128">
        <v>0.00032</v>
      </c>
      <c r="Y164" s="128">
        <f>$X$164*$K$164</f>
        <v>0.0114912</v>
      </c>
      <c r="Z164" s="128">
        <v>0</v>
      </c>
      <c r="AA164" s="129">
        <f>$Z$164*$K$164</f>
        <v>0</v>
      </c>
      <c r="AR164" s="6" t="s">
        <v>219</v>
      </c>
      <c r="AT164" s="6" t="s">
        <v>164</v>
      </c>
      <c r="AU164" s="6" t="s">
        <v>141</v>
      </c>
      <c r="AY164" s="6" t="s">
        <v>163</v>
      </c>
      <c r="BE164" s="82">
        <f>IF($U$164="základní",$N$164,0)</f>
        <v>0</v>
      </c>
      <c r="BF164" s="82">
        <f>IF($U$164="snížená",$N$164,0)</f>
        <v>0</v>
      </c>
      <c r="BG164" s="82">
        <f>IF($U$164="zákl. přenesená",$N$164,0)</f>
        <v>0</v>
      </c>
      <c r="BH164" s="82">
        <f>IF($U$164="sníž. přenesená",$N$164,0)</f>
        <v>0</v>
      </c>
      <c r="BI164" s="82">
        <f>IF($U$164="nulová",$N$164,0)</f>
        <v>0</v>
      </c>
      <c r="BJ164" s="6" t="s">
        <v>141</v>
      </c>
      <c r="BK164" s="82">
        <f>ROUND($L$164*$K$164,2)</f>
        <v>0</v>
      </c>
      <c r="BL164" s="6" t="s">
        <v>219</v>
      </c>
    </row>
    <row r="165" spans="2:64" s="6" customFormat="1" ht="15.75" customHeight="1">
      <c r="B165" s="21"/>
      <c r="C165" s="123" t="s">
        <v>237</v>
      </c>
      <c r="D165" s="123" t="s">
        <v>164</v>
      </c>
      <c r="E165" s="124" t="s">
        <v>283</v>
      </c>
      <c r="F165" s="205" t="s">
        <v>284</v>
      </c>
      <c r="G165" s="206"/>
      <c r="H165" s="206"/>
      <c r="I165" s="206"/>
      <c r="J165" s="125" t="s">
        <v>171</v>
      </c>
      <c r="K165" s="126">
        <v>18.56</v>
      </c>
      <c r="L165" s="207">
        <v>0</v>
      </c>
      <c r="M165" s="206"/>
      <c r="N165" s="208">
        <f>ROUND($L$165*$K$165,2)</f>
        <v>0</v>
      </c>
      <c r="O165" s="206"/>
      <c r="P165" s="206"/>
      <c r="Q165" s="206"/>
      <c r="R165" s="22"/>
      <c r="T165" s="127"/>
      <c r="U165" s="28" t="s">
        <v>42</v>
      </c>
      <c r="V165" s="128">
        <v>0.144</v>
      </c>
      <c r="W165" s="128">
        <f>$V$165*$K$165</f>
        <v>2.6726399999999995</v>
      </c>
      <c r="X165" s="128">
        <v>6E-05</v>
      </c>
      <c r="Y165" s="128">
        <f>$X$165*$K$165</f>
        <v>0.0011136</v>
      </c>
      <c r="Z165" s="128">
        <v>0</v>
      </c>
      <c r="AA165" s="129">
        <f>$Z$165*$K$165</f>
        <v>0</v>
      </c>
      <c r="AR165" s="6" t="s">
        <v>219</v>
      </c>
      <c r="AT165" s="6" t="s">
        <v>164</v>
      </c>
      <c r="AU165" s="6" t="s">
        <v>141</v>
      </c>
      <c r="AY165" s="6" t="s">
        <v>163</v>
      </c>
      <c r="BE165" s="82">
        <f>IF($U$165="základní",$N$165,0)</f>
        <v>0</v>
      </c>
      <c r="BF165" s="82">
        <f>IF($U$165="snížená",$N$165,0)</f>
        <v>0</v>
      </c>
      <c r="BG165" s="82">
        <f>IF($U$165="zákl. přenesená",$N$165,0)</f>
        <v>0</v>
      </c>
      <c r="BH165" s="82">
        <f>IF($U$165="sníž. přenesená",$N$165,0)</f>
        <v>0</v>
      </c>
      <c r="BI165" s="82">
        <f>IF($U$165="nulová",$N$165,0)</f>
        <v>0</v>
      </c>
      <c r="BJ165" s="6" t="s">
        <v>141</v>
      </c>
      <c r="BK165" s="82">
        <f>ROUND($L$165*$K$165,2)</f>
        <v>0</v>
      </c>
      <c r="BL165" s="6" t="s">
        <v>219</v>
      </c>
    </row>
    <row r="166" spans="2:64" s="6" customFormat="1" ht="15.75" customHeight="1">
      <c r="B166" s="21"/>
      <c r="C166" s="123" t="s">
        <v>241</v>
      </c>
      <c r="D166" s="123" t="s">
        <v>164</v>
      </c>
      <c r="E166" s="124" t="s">
        <v>288</v>
      </c>
      <c r="F166" s="205" t="s">
        <v>289</v>
      </c>
      <c r="G166" s="206"/>
      <c r="H166" s="206"/>
      <c r="I166" s="206"/>
      <c r="J166" s="125" t="s">
        <v>171</v>
      </c>
      <c r="K166" s="126">
        <v>35.91</v>
      </c>
      <c r="L166" s="207">
        <v>0</v>
      </c>
      <c r="M166" s="206"/>
      <c r="N166" s="208">
        <f>ROUND($L$166*$K$166,2)</f>
        <v>0</v>
      </c>
      <c r="O166" s="206"/>
      <c r="P166" s="206"/>
      <c r="Q166" s="206"/>
      <c r="R166" s="22"/>
      <c r="T166" s="127"/>
      <c r="U166" s="28" t="s">
        <v>42</v>
      </c>
      <c r="V166" s="128">
        <v>0.063</v>
      </c>
      <c r="W166" s="128">
        <f>$V$166*$K$166</f>
        <v>2.26233</v>
      </c>
      <c r="X166" s="128">
        <v>5E-05</v>
      </c>
      <c r="Y166" s="128">
        <f>$X$166*$K$166</f>
        <v>0.0017955</v>
      </c>
      <c r="Z166" s="128">
        <v>0</v>
      </c>
      <c r="AA166" s="129">
        <f>$Z$166*$K$166</f>
        <v>0</v>
      </c>
      <c r="AR166" s="6" t="s">
        <v>219</v>
      </c>
      <c r="AT166" s="6" t="s">
        <v>164</v>
      </c>
      <c r="AU166" s="6" t="s">
        <v>141</v>
      </c>
      <c r="AY166" s="6" t="s">
        <v>163</v>
      </c>
      <c r="BE166" s="82">
        <f>IF($U$166="základní",$N$166,0)</f>
        <v>0</v>
      </c>
      <c r="BF166" s="82">
        <f>IF($U$166="snížená",$N$166,0)</f>
        <v>0</v>
      </c>
      <c r="BG166" s="82">
        <f>IF($U$166="zákl. přenesená",$N$166,0)</f>
        <v>0</v>
      </c>
      <c r="BH166" s="82">
        <f>IF($U$166="sníž. přenesená",$N$166,0)</f>
        <v>0</v>
      </c>
      <c r="BI166" s="82">
        <f>IF($U$166="nulová",$N$166,0)</f>
        <v>0</v>
      </c>
      <c r="BJ166" s="6" t="s">
        <v>141</v>
      </c>
      <c r="BK166" s="82">
        <f>ROUND($L$166*$K$166,2)</f>
        <v>0</v>
      </c>
      <c r="BL166" s="6" t="s">
        <v>219</v>
      </c>
    </row>
    <row r="167" spans="2:63" s="113" customFormat="1" ht="30.75" customHeight="1">
      <c r="B167" s="114"/>
      <c r="D167" s="122" t="s">
        <v>136</v>
      </c>
      <c r="N167" s="223">
        <f>$BK$167</f>
        <v>0</v>
      </c>
      <c r="O167" s="222"/>
      <c r="P167" s="222"/>
      <c r="Q167" s="222"/>
      <c r="R167" s="117"/>
      <c r="T167" s="118"/>
      <c r="W167" s="119">
        <f>SUM($W$168:$W$180)</f>
        <v>53.247679</v>
      </c>
      <c r="Y167" s="119">
        <f>SUM($Y$168:$Y$180)</f>
        <v>0.15907316999999999</v>
      </c>
      <c r="AA167" s="120">
        <f>SUM($AA$168:$AA$180)</f>
        <v>0.045217799999999995</v>
      </c>
      <c r="AR167" s="116" t="s">
        <v>141</v>
      </c>
      <c r="AT167" s="116" t="s">
        <v>74</v>
      </c>
      <c r="AU167" s="116" t="s">
        <v>17</v>
      </c>
      <c r="AY167" s="116" t="s">
        <v>163</v>
      </c>
      <c r="BK167" s="121">
        <f>SUM($BK$168:$BK$180)</f>
        <v>0</v>
      </c>
    </row>
    <row r="168" spans="2:64" s="6" customFormat="1" ht="27" customHeight="1">
      <c r="B168" s="21"/>
      <c r="C168" s="123" t="s">
        <v>245</v>
      </c>
      <c r="D168" s="123" t="s">
        <v>164</v>
      </c>
      <c r="E168" s="124" t="s">
        <v>292</v>
      </c>
      <c r="F168" s="205" t="s">
        <v>293</v>
      </c>
      <c r="G168" s="206"/>
      <c r="H168" s="206"/>
      <c r="I168" s="206"/>
      <c r="J168" s="125" t="s">
        <v>171</v>
      </c>
      <c r="K168" s="126">
        <v>301.452</v>
      </c>
      <c r="L168" s="207">
        <v>0</v>
      </c>
      <c r="M168" s="206"/>
      <c r="N168" s="208">
        <f>ROUND($L$168*$K$168,2)</f>
        <v>0</v>
      </c>
      <c r="O168" s="206"/>
      <c r="P168" s="206"/>
      <c r="Q168" s="206"/>
      <c r="R168" s="22"/>
      <c r="T168" s="127"/>
      <c r="U168" s="28" t="s">
        <v>42</v>
      </c>
      <c r="V168" s="128">
        <v>0.035</v>
      </c>
      <c r="W168" s="128">
        <f>$V$168*$K$168</f>
        <v>10.550820000000002</v>
      </c>
      <c r="X168" s="128">
        <v>0</v>
      </c>
      <c r="Y168" s="128">
        <f>$X$168*$K$168</f>
        <v>0</v>
      </c>
      <c r="Z168" s="128">
        <v>0.00015</v>
      </c>
      <c r="AA168" s="129">
        <f>$Z$168*$K$168</f>
        <v>0.045217799999999995</v>
      </c>
      <c r="AR168" s="6" t="s">
        <v>219</v>
      </c>
      <c r="AT168" s="6" t="s">
        <v>164</v>
      </c>
      <c r="AU168" s="6" t="s">
        <v>141</v>
      </c>
      <c r="AY168" s="6" t="s">
        <v>163</v>
      </c>
      <c r="BE168" s="82">
        <f>IF($U$168="základní",$N$168,0)</f>
        <v>0</v>
      </c>
      <c r="BF168" s="82">
        <f>IF($U$168="snížená",$N$168,0)</f>
        <v>0</v>
      </c>
      <c r="BG168" s="82">
        <f>IF($U$168="zákl. přenesená",$N$168,0)</f>
        <v>0</v>
      </c>
      <c r="BH168" s="82">
        <f>IF($U$168="sníž. přenesená",$N$168,0)</f>
        <v>0</v>
      </c>
      <c r="BI168" s="82">
        <f>IF($U$168="nulová",$N$168,0)</f>
        <v>0</v>
      </c>
      <c r="BJ168" s="6" t="s">
        <v>141</v>
      </c>
      <c r="BK168" s="82">
        <f>ROUND($L$168*$K$168,2)</f>
        <v>0</v>
      </c>
      <c r="BL168" s="6" t="s">
        <v>219</v>
      </c>
    </row>
    <row r="169" spans="2:51" s="6" customFormat="1" ht="39" customHeight="1">
      <c r="B169" s="130"/>
      <c r="E169" s="131"/>
      <c r="F169" s="209" t="s">
        <v>410</v>
      </c>
      <c r="G169" s="210"/>
      <c r="H169" s="210"/>
      <c r="I169" s="210"/>
      <c r="K169" s="132">
        <v>301.452</v>
      </c>
      <c r="R169" s="133"/>
      <c r="T169" s="134"/>
      <c r="AA169" s="135"/>
      <c r="AT169" s="131" t="s">
        <v>173</v>
      </c>
      <c r="AU169" s="131" t="s">
        <v>141</v>
      </c>
      <c r="AV169" s="131" t="s">
        <v>141</v>
      </c>
      <c r="AW169" s="131" t="s">
        <v>125</v>
      </c>
      <c r="AX169" s="131" t="s">
        <v>75</v>
      </c>
      <c r="AY169" s="131" t="s">
        <v>163</v>
      </c>
    </row>
    <row r="170" spans="2:51" s="6" customFormat="1" ht="15.75" customHeight="1">
      <c r="B170" s="141"/>
      <c r="E170" s="142"/>
      <c r="F170" s="215" t="s">
        <v>286</v>
      </c>
      <c r="G170" s="216"/>
      <c r="H170" s="216"/>
      <c r="I170" s="216"/>
      <c r="K170" s="143">
        <v>301.452</v>
      </c>
      <c r="R170" s="144"/>
      <c r="T170" s="145"/>
      <c r="AA170" s="146"/>
      <c r="AT170" s="142" t="s">
        <v>173</v>
      </c>
      <c r="AU170" s="142" t="s">
        <v>141</v>
      </c>
      <c r="AV170" s="142" t="s">
        <v>168</v>
      </c>
      <c r="AW170" s="142" t="s">
        <v>125</v>
      </c>
      <c r="AX170" s="142" t="s">
        <v>17</v>
      </c>
      <c r="AY170" s="142" t="s">
        <v>163</v>
      </c>
    </row>
    <row r="171" spans="2:64" s="6" customFormat="1" ht="27" customHeight="1">
      <c r="B171" s="21"/>
      <c r="C171" s="123" t="s">
        <v>248</v>
      </c>
      <c r="D171" s="123" t="s">
        <v>164</v>
      </c>
      <c r="E171" s="124" t="s">
        <v>299</v>
      </c>
      <c r="F171" s="205" t="s">
        <v>337</v>
      </c>
      <c r="G171" s="206"/>
      <c r="H171" s="206"/>
      <c r="I171" s="206"/>
      <c r="J171" s="125" t="s">
        <v>171</v>
      </c>
      <c r="K171" s="126">
        <v>61.76</v>
      </c>
      <c r="L171" s="207">
        <v>0</v>
      </c>
      <c r="M171" s="206"/>
      <c r="N171" s="208">
        <f>ROUND($L$171*$K$171,2)</f>
        <v>0</v>
      </c>
      <c r="O171" s="206"/>
      <c r="P171" s="206"/>
      <c r="Q171" s="206"/>
      <c r="R171" s="22"/>
      <c r="T171" s="127"/>
      <c r="U171" s="28" t="s">
        <v>42</v>
      </c>
      <c r="V171" s="128">
        <v>0.016</v>
      </c>
      <c r="W171" s="128">
        <f>$V$171*$K$171</f>
        <v>0.98816</v>
      </c>
      <c r="X171" s="128">
        <v>0</v>
      </c>
      <c r="Y171" s="128">
        <f>$X$171*$K$171</f>
        <v>0</v>
      </c>
      <c r="Z171" s="128">
        <v>0</v>
      </c>
      <c r="AA171" s="129">
        <f>$Z$171*$K$171</f>
        <v>0</v>
      </c>
      <c r="AR171" s="6" t="s">
        <v>219</v>
      </c>
      <c r="AT171" s="6" t="s">
        <v>164</v>
      </c>
      <c r="AU171" s="6" t="s">
        <v>141</v>
      </c>
      <c r="AY171" s="6" t="s">
        <v>163</v>
      </c>
      <c r="BE171" s="82">
        <f>IF($U$171="základní",$N$171,0)</f>
        <v>0</v>
      </c>
      <c r="BF171" s="82">
        <f>IF($U$171="snížená",$N$171,0)</f>
        <v>0</v>
      </c>
      <c r="BG171" s="82">
        <f>IF($U$171="zákl. přenesená",$N$171,0)</f>
        <v>0</v>
      </c>
      <c r="BH171" s="82">
        <f>IF($U$171="sníž. přenesená",$N$171,0)</f>
        <v>0</v>
      </c>
      <c r="BI171" s="82">
        <f>IF($U$171="nulová",$N$171,0)</f>
        <v>0</v>
      </c>
      <c r="BJ171" s="6" t="s">
        <v>141</v>
      </c>
      <c r="BK171" s="82">
        <f>ROUND($L$171*$K$171,2)</f>
        <v>0</v>
      </c>
      <c r="BL171" s="6" t="s">
        <v>219</v>
      </c>
    </row>
    <row r="172" spans="2:51" s="6" customFormat="1" ht="15.75" customHeight="1">
      <c r="B172" s="130"/>
      <c r="E172" s="131"/>
      <c r="F172" s="209" t="s">
        <v>411</v>
      </c>
      <c r="G172" s="210"/>
      <c r="H172" s="210"/>
      <c r="I172" s="210"/>
      <c r="K172" s="132">
        <v>56.96</v>
      </c>
      <c r="R172" s="133"/>
      <c r="T172" s="134"/>
      <c r="AA172" s="135"/>
      <c r="AT172" s="131" t="s">
        <v>173</v>
      </c>
      <c r="AU172" s="131" t="s">
        <v>141</v>
      </c>
      <c r="AV172" s="131" t="s">
        <v>141</v>
      </c>
      <c r="AW172" s="131" t="s">
        <v>125</v>
      </c>
      <c r="AX172" s="131" t="s">
        <v>75</v>
      </c>
      <c r="AY172" s="131" t="s">
        <v>163</v>
      </c>
    </row>
    <row r="173" spans="2:51" s="6" customFormat="1" ht="15.75" customHeight="1">
      <c r="B173" s="130"/>
      <c r="E173" s="131"/>
      <c r="F173" s="209" t="s">
        <v>412</v>
      </c>
      <c r="G173" s="210"/>
      <c r="H173" s="210"/>
      <c r="I173" s="210"/>
      <c r="K173" s="132">
        <v>4.8</v>
      </c>
      <c r="R173" s="133"/>
      <c r="T173" s="134"/>
      <c r="AA173" s="135"/>
      <c r="AT173" s="131" t="s">
        <v>173</v>
      </c>
      <c r="AU173" s="131" t="s">
        <v>141</v>
      </c>
      <c r="AV173" s="131" t="s">
        <v>141</v>
      </c>
      <c r="AW173" s="131" t="s">
        <v>125</v>
      </c>
      <c r="AX173" s="131" t="s">
        <v>75</v>
      </c>
      <c r="AY173" s="131" t="s">
        <v>163</v>
      </c>
    </row>
    <row r="174" spans="2:51" s="6" customFormat="1" ht="15.75" customHeight="1">
      <c r="B174" s="141"/>
      <c r="E174" s="142"/>
      <c r="F174" s="215" t="s">
        <v>286</v>
      </c>
      <c r="G174" s="216"/>
      <c r="H174" s="216"/>
      <c r="I174" s="216"/>
      <c r="K174" s="143">
        <v>61.76</v>
      </c>
      <c r="R174" s="144"/>
      <c r="T174" s="145"/>
      <c r="AA174" s="146"/>
      <c r="AT174" s="142" t="s">
        <v>173</v>
      </c>
      <c r="AU174" s="142" t="s">
        <v>141</v>
      </c>
      <c r="AV174" s="142" t="s">
        <v>168</v>
      </c>
      <c r="AW174" s="142" t="s">
        <v>125</v>
      </c>
      <c r="AX174" s="142" t="s">
        <v>17</v>
      </c>
      <c r="AY174" s="142" t="s">
        <v>163</v>
      </c>
    </row>
    <row r="175" spans="2:64" s="6" customFormat="1" ht="27" customHeight="1">
      <c r="B175" s="21"/>
      <c r="C175" s="136" t="s">
        <v>251</v>
      </c>
      <c r="D175" s="136" t="s">
        <v>190</v>
      </c>
      <c r="E175" s="137" t="s">
        <v>302</v>
      </c>
      <c r="F175" s="211" t="s">
        <v>303</v>
      </c>
      <c r="G175" s="212"/>
      <c r="H175" s="212"/>
      <c r="I175" s="212"/>
      <c r="J175" s="138" t="s">
        <v>171</v>
      </c>
      <c r="K175" s="139">
        <v>64.848</v>
      </c>
      <c r="L175" s="213">
        <v>0</v>
      </c>
      <c r="M175" s="212"/>
      <c r="N175" s="214">
        <f>ROUND($L$175*$K$175,2)</f>
        <v>0</v>
      </c>
      <c r="O175" s="206"/>
      <c r="P175" s="206"/>
      <c r="Q175" s="206"/>
      <c r="R175" s="22"/>
      <c r="T175" s="127"/>
      <c r="U175" s="28" t="s">
        <v>42</v>
      </c>
      <c r="V175" s="128">
        <v>0</v>
      </c>
      <c r="W175" s="128">
        <f>$V$175*$K$175</f>
        <v>0</v>
      </c>
      <c r="X175" s="128">
        <v>0</v>
      </c>
      <c r="Y175" s="128">
        <f>$X$175*$K$175</f>
        <v>0</v>
      </c>
      <c r="Z175" s="128">
        <v>0</v>
      </c>
      <c r="AA175" s="129">
        <f>$Z$175*$K$175</f>
        <v>0</v>
      </c>
      <c r="AR175" s="6" t="s">
        <v>263</v>
      </c>
      <c r="AT175" s="6" t="s">
        <v>190</v>
      </c>
      <c r="AU175" s="6" t="s">
        <v>141</v>
      </c>
      <c r="AY175" s="6" t="s">
        <v>163</v>
      </c>
      <c r="BE175" s="82">
        <f>IF($U$175="základní",$N$175,0)</f>
        <v>0</v>
      </c>
      <c r="BF175" s="82">
        <f>IF($U$175="snížená",$N$175,0)</f>
        <v>0</v>
      </c>
      <c r="BG175" s="82">
        <f>IF($U$175="zákl. přenesená",$N$175,0)</f>
        <v>0</v>
      </c>
      <c r="BH175" s="82">
        <f>IF($U$175="sníž. přenesená",$N$175,0)</f>
        <v>0</v>
      </c>
      <c r="BI175" s="82">
        <f>IF($U$175="nulová",$N$175,0)</f>
        <v>0</v>
      </c>
      <c r="BJ175" s="6" t="s">
        <v>141</v>
      </c>
      <c r="BK175" s="82">
        <f>ROUND($L$175*$K$175,2)</f>
        <v>0</v>
      </c>
      <c r="BL175" s="6" t="s">
        <v>219</v>
      </c>
    </row>
    <row r="176" spans="2:64" s="6" customFormat="1" ht="27" customHeight="1">
      <c r="B176" s="21"/>
      <c r="C176" s="123" t="s">
        <v>254</v>
      </c>
      <c r="D176" s="123" t="s">
        <v>164</v>
      </c>
      <c r="E176" s="124" t="s">
        <v>305</v>
      </c>
      <c r="F176" s="205" t="s">
        <v>306</v>
      </c>
      <c r="G176" s="206"/>
      <c r="H176" s="206"/>
      <c r="I176" s="206"/>
      <c r="J176" s="125" t="s">
        <v>171</v>
      </c>
      <c r="K176" s="126">
        <v>478.834</v>
      </c>
      <c r="L176" s="207">
        <v>0</v>
      </c>
      <c r="M176" s="206"/>
      <c r="N176" s="208">
        <f>ROUND($L$176*$K$176,2)</f>
        <v>0</v>
      </c>
      <c r="O176" s="206"/>
      <c r="P176" s="206"/>
      <c r="Q176" s="206"/>
      <c r="R176" s="22"/>
      <c r="T176" s="127"/>
      <c r="U176" s="28" t="s">
        <v>42</v>
      </c>
      <c r="V176" s="128">
        <v>0.033</v>
      </c>
      <c r="W176" s="128">
        <f>$V$176*$K$176</f>
        <v>15.801522</v>
      </c>
      <c r="X176" s="128">
        <v>0.0002</v>
      </c>
      <c r="Y176" s="128">
        <f>$X$176*$K$176</f>
        <v>0.0957668</v>
      </c>
      <c r="Z176" s="128">
        <v>0</v>
      </c>
      <c r="AA176" s="129">
        <f>$Z$176*$K$176</f>
        <v>0</v>
      </c>
      <c r="AR176" s="6" t="s">
        <v>219</v>
      </c>
      <c r="AT176" s="6" t="s">
        <v>164</v>
      </c>
      <c r="AU176" s="6" t="s">
        <v>141</v>
      </c>
      <c r="AY176" s="6" t="s">
        <v>163</v>
      </c>
      <c r="BE176" s="82">
        <f>IF($U$176="základní",$N$176,0)</f>
        <v>0</v>
      </c>
      <c r="BF176" s="82">
        <f>IF($U$176="snížená",$N$176,0)</f>
        <v>0</v>
      </c>
      <c r="BG176" s="82">
        <f>IF($U$176="zákl. přenesená",$N$176,0)</f>
        <v>0</v>
      </c>
      <c r="BH176" s="82">
        <f>IF($U$176="sníž. přenesená",$N$176,0)</f>
        <v>0</v>
      </c>
      <c r="BI176" s="82">
        <f>IF($U$176="nulová",$N$176,0)</f>
        <v>0</v>
      </c>
      <c r="BJ176" s="6" t="s">
        <v>141</v>
      </c>
      <c r="BK176" s="82">
        <f>ROUND($L$176*$K$176,2)</f>
        <v>0</v>
      </c>
      <c r="BL176" s="6" t="s">
        <v>219</v>
      </c>
    </row>
    <row r="177" spans="2:51" s="6" customFormat="1" ht="15.75" customHeight="1">
      <c r="B177" s="130"/>
      <c r="E177" s="131"/>
      <c r="F177" s="209" t="s">
        <v>413</v>
      </c>
      <c r="G177" s="210"/>
      <c r="H177" s="210"/>
      <c r="I177" s="210"/>
      <c r="K177" s="132">
        <v>478.834</v>
      </c>
      <c r="R177" s="133"/>
      <c r="T177" s="134"/>
      <c r="AA177" s="135"/>
      <c r="AT177" s="131" t="s">
        <v>173</v>
      </c>
      <c r="AU177" s="131" t="s">
        <v>141</v>
      </c>
      <c r="AV177" s="131" t="s">
        <v>141</v>
      </c>
      <c r="AW177" s="131" t="s">
        <v>125</v>
      </c>
      <c r="AX177" s="131" t="s">
        <v>75</v>
      </c>
      <c r="AY177" s="131" t="s">
        <v>163</v>
      </c>
    </row>
    <row r="178" spans="2:51" s="6" customFormat="1" ht="15.75" customHeight="1">
      <c r="B178" s="141"/>
      <c r="E178" s="142"/>
      <c r="F178" s="215" t="s">
        <v>286</v>
      </c>
      <c r="G178" s="216"/>
      <c r="H178" s="216"/>
      <c r="I178" s="216"/>
      <c r="K178" s="143">
        <v>478.834</v>
      </c>
      <c r="R178" s="144"/>
      <c r="T178" s="145"/>
      <c r="AA178" s="146"/>
      <c r="AT178" s="142" t="s">
        <v>173</v>
      </c>
      <c r="AU178" s="142" t="s">
        <v>141</v>
      </c>
      <c r="AV178" s="142" t="s">
        <v>168</v>
      </c>
      <c r="AW178" s="142" t="s">
        <v>125</v>
      </c>
      <c r="AX178" s="142" t="s">
        <v>17</v>
      </c>
      <c r="AY178" s="142" t="s">
        <v>163</v>
      </c>
    </row>
    <row r="179" spans="2:64" s="6" customFormat="1" ht="27" customHeight="1">
      <c r="B179" s="21"/>
      <c r="C179" s="123" t="s">
        <v>257</v>
      </c>
      <c r="D179" s="123" t="s">
        <v>164</v>
      </c>
      <c r="E179" s="124" t="s">
        <v>308</v>
      </c>
      <c r="F179" s="205" t="s">
        <v>309</v>
      </c>
      <c r="G179" s="206"/>
      <c r="H179" s="206"/>
      <c r="I179" s="206"/>
      <c r="J179" s="125" t="s">
        <v>171</v>
      </c>
      <c r="K179" s="126">
        <v>105.795</v>
      </c>
      <c r="L179" s="207">
        <v>0</v>
      </c>
      <c r="M179" s="206"/>
      <c r="N179" s="208">
        <f>ROUND($L$179*$K$179,2)</f>
        <v>0</v>
      </c>
      <c r="O179" s="206"/>
      <c r="P179" s="206"/>
      <c r="Q179" s="206"/>
      <c r="R179" s="22"/>
      <c r="T179" s="127"/>
      <c r="U179" s="28" t="s">
        <v>42</v>
      </c>
      <c r="V179" s="128">
        <v>0.005</v>
      </c>
      <c r="W179" s="128">
        <f>$V$179*$K$179</f>
        <v>0.528975</v>
      </c>
      <c r="X179" s="128">
        <v>1E-05</v>
      </c>
      <c r="Y179" s="128">
        <f>$X$179*$K$179</f>
        <v>0.0010579500000000002</v>
      </c>
      <c r="Z179" s="128">
        <v>0</v>
      </c>
      <c r="AA179" s="129">
        <f>$Z$179*$K$179</f>
        <v>0</v>
      </c>
      <c r="AR179" s="6" t="s">
        <v>219</v>
      </c>
      <c r="AT179" s="6" t="s">
        <v>164</v>
      </c>
      <c r="AU179" s="6" t="s">
        <v>141</v>
      </c>
      <c r="AY179" s="6" t="s">
        <v>163</v>
      </c>
      <c r="BE179" s="82">
        <f>IF($U$179="základní",$N$179,0)</f>
        <v>0</v>
      </c>
      <c r="BF179" s="82">
        <f>IF($U$179="snížená",$N$179,0)</f>
        <v>0</v>
      </c>
      <c r="BG179" s="82">
        <f>IF($U$179="zákl. přenesená",$N$179,0)</f>
        <v>0</v>
      </c>
      <c r="BH179" s="82">
        <f>IF($U$179="sníž. přenesená",$N$179,0)</f>
        <v>0</v>
      </c>
      <c r="BI179" s="82">
        <f>IF($U$179="nulová",$N$179,0)</f>
        <v>0</v>
      </c>
      <c r="BJ179" s="6" t="s">
        <v>141</v>
      </c>
      <c r="BK179" s="82">
        <f>ROUND($L$179*$K$179,2)</f>
        <v>0</v>
      </c>
      <c r="BL179" s="6" t="s">
        <v>219</v>
      </c>
    </row>
    <row r="180" spans="2:64" s="6" customFormat="1" ht="39" customHeight="1">
      <c r="B180" s="21"/>
      <c r="C180" s="123" t="s">
        <v>260</v>
      </c>
      <c r="D180" s="123" t="s">
        <v>164</v>
      </c>
      <c r="E180" s="124" t="s">
        <v>311</v>
      </c>
      <c r="F180" s="205" t="s">
        <v>312</v>
      </c>
      <c r="G180" s="206"/>
      <c r="H180" s="206"/>
      <c r="I180" s="206"/>
      <c r="J180" s="125" t="s">
        <v>171</v>
      </c>
      <c r="K180" s="126">
        <v>478.834</v>
      </c>
      <c r="L180" s="207">
        <v>0</v>
      </c>
      <c r="M180" s="206"/>
      <c r="N180" s="208">
        <f>ROUND($L$180*$K$180,2)</f>
        <v>0</v>
      </c>
      <c r="O180" s="206"/>
      <c r="P180" s="206"/>
      <c r="Q180" s="206"/>
      <c r="R180" s="22"/>
      <c r="T180" s="127"/>
      <c r="U180" s="28" t="s">
        <v>42</v>
      </c>
      <c r="V180" s="128">
        <v>0.053</v>
      </c>
      <c r="W180" s="128">
        <f>$V$180*$K$180</f>
        <v>25.378201999999998</v>
      </c>
      <c r="X180" s="128">
        <v>0.00013</v>
      </c>
      <c r="Y180" s="128">
        <f>$X$180*$K$180</f>
        <v>0.06224841999999999</v>
      </c>
      <c r="Z180" s="128">
        <v>0</v>
      </c>
      <c r="AA180" s="129">
        <f>$Z$180*$K$180</f>
        <v>0</v>
      </c>
      <c r="AR180" s="6" t="s">
        <v>219</v>
      </c>
      <c r="AT180" s="6" t="s">
        <v>164</v>
      </c>
      <c r="AU180" s="6" t="s">
        <v>141</v>
      </c>
      <c r="AY180" s="6" t="s">
        <v>163</v>
      </c>
      <c r="BE180" s="82">
        <f>IF($U$180="základní",$N$180,0)</f>
        <v>0</v>
      </c>
      <c r="BF180" s="82">
        <f>IF($U$180="snížená",$N$180,0)</f>
        <v>0</v>
      </c>
      <c r="BG180" s="82">
        <f>IF($U$180="zákl. přenesená",$N$180,0)</f>
        <v>0</v>
      </c>
      <c r="BH180" s="82">
        <f>IF($U$180="sníž. přenesená",$N$180,0)</f>
        <v>0</v>
      </c>
      <c r="BI180" s="82">
        <f>IF($U$180="nulová",$N$180,0)</f>
        <v>0</v>
      </c>
      <c r="BJ180" s="6" t="s">
        <v>141</v>
      </c>
      <c r="BK180" s="82">
        <f>ROUND($L$180*$K$180,2)</f>
        <v>0</v>
      </c>
      <c r="BL180" s="6" t="s">
        <v>219</v>
      </c>
    </row>
    <row r="181" spans="2:63" s="6" customFormat="1" ht="51" customHeight="1">
      <c r="B181" s="21"/>
      <c r="D181" s="115" t="s">
        <v>313</v>
      </c>
      <c r="N181" s="201">
        <f>$BK$181</f>
        <v>0</v>
      </c>
      <c r="O181" s="161"/>
      <c r="P181" s="161"/>
      <c r="Q181" s="161"/>
      <c r="R181" s="22"/>
      <c r="T181" s="53"/>
      <c r="AA181" s="54"/>
      <c r="AT181" s="6" t="s">
        <v>74</v>
      </c>
      <c r="AU181" s="6" t="s">
        <v>75</v>
      </c>
      <c r="AY181" s="6" t="s">
        <v>314</v>
      </c>
      <c r="BK181" s="82">
        <f>SUM($BK$182:$BK$186)</f>
        <v>0</v>
      </c>
    </row>
    <row r="182" spans="2:63" s="6" customFormat="1" ht="23.25" customHeight="1">
      <c r="B182" s="21"/>
      <c r="C182" s="153"/>
      <c r="D182" s="153" t="s">
        <v>164</v>
      </c>
      <c r="E182" s="154"/>
      <c r="F182" s="219"/>
      <c r="G182" s="220"/>
      <c r="H182" s="220"/>
      <c r="I182" s="220"/>
      <c r="J182" s="155"/>
      <c r="K182" s="140"/>
      <c r="L182" s="207"/>
      <c r="M182" s="206"/>
      <c r="N182" s="208">
        <f>$BK$182</f>
        <v>0</v>
      </c>
      <c r="O182" s="206"/>
      <c r="P182" s="206"/>
      <c r="Q182" s="206"/>
      <c r="R182" s="22"/>
      <c r="T182" s="127"/>
      <c r="U182" s="156" t="s">
        <v>42</v>
      </c>
      <c r="AA182" s="54"/>
      <c r="AT182" s="6" t="s">
        <v>314</v>
      </c>
      <c r="AU182" s="6" t="s">
        <v>17</v>
      </c>
      <c r="AY182" s="6" t="s">
        <v>314</v>
      </c>
      <c r="BE182" s="82">
        <f>IF($U$182="základní",$N$182,0)</f>
        <v>0</v>
      </c>
      <c r="BF182" s="82">
        <f>IF($U$182="snížená",$N$182,0)</f>
        <v>0</v>
      </c>
      <c r="BG182" s="82">
        <f>IF($U$182="zákl. přenesená",$N$182,0)</f>
        <v>0</v>
      </c>
      <c r="BH182" s="82">
        <f>IF($U$182="sníž. přenesená",$N$182,0)</f>
        <v>0</v>
      </c>
      <c r="BI182" s="82">
        <f>IF($U$182="nulová",$N$182,0)</f>
        <v>0</v>
      </c>
      <c r="BJ182" s="6" t="s">
        <v>141</v>
      </c>
      <c r="BK182" s="82">
        <f>$L$182*$K$182</f>
        <v>0</v>
      </c>
    </row>
    <row r="183" spans="2:63" s="6" customFormat="1" ht="23.25" customHeight="1">
      <c r="B183" s="21"/>
      <c r="C183" s="153"/>
      <c r="D183" s="153" t="s">
        <v>164</v>
      </c>
      <c r="E183" s="154"/>
      <c r="F183" s="219"/>
      <c r="G183" s="220"/>
      <c r="H183" s="220"/>
      <c r="I183" s="220"/>
      <c r="J183" s="155"/>
      <c r="K183" s="140"/>
      <c r="L183" s="207"/>
      <c r="M183" s="206"/>
      <c r="N183" s="208">
        <f>$BK$183</f>
        <v>0</v>
      </c>
      <c r="O183" s="206"/>
      <c r="P183" s="206"/>
      <c r="Q183" s="206"/>
      <c r="R183" s="22"/>
      <c r="T183" s="127"/>
      <c r="U183" s="156" t="s">
        <v>42</v>
      </c>
      <c r="AA183" s="54"/>
      <c r="AT183" s="6" t="s">
        <v>314</v>
      </c>
      <c r="AU183" s="6" t="s">
        <v>17</v>
      </c>
      <c r="AY183" s="6" t="s">
        <v>314</v>
      </c>
      <c r="BE183" s="82">
        <f>IF($U$183="základní",$N$183,0)</f>
        <v>0</v>
      </c>
      <c r="BF183" s="82">
        <f>IF($U$183="snížená",$N$183,0)</f>
        <v>0</v>
      </c>
      <c r="BG183" s="82">
        <f>IF($U$183="zákl. přenesená",$N$183,0)</f>
        <v>0</v>
      </c>
      <c r="BH183" s="82">
        <f>IF($U$183="sníž. přenesená",$N$183,0)</f>
        <v>0</v>
      </c>
      <c r="BI183" s="82">
        <f>IF($U$183="nulová",$N$183,0)</f>
        <v>0</v>
      </c>
      <c r="BJ183" s="6" t="s">
        <v>141</v>
      </c>
      <c r="BK183" s="82">
        <f>$L$183*$K$183</f>
        <v>0</v>
      </c>
    </row>
    <row r="184" spans="2:63" s="6" customFormat="1" ht="23.25" customHeight="1">
      <c r="B184" s="21"/>
      <c r="C184" s="153"/>
      <c r="D184" s="153" t="s">
        <v>164</v>
      </c>
      <c r="E184" s="154"/>
      <c r="F184" s="219"/>
      <c r="G184" s="220"/>
      <c r="H184" s="220"/>
      <c r="I184" s="220"/>
      <c r="J184" s="155"/>
      <c r="K184" s="140"/>
      <c r="L184" s="207"/>
      <c r="M184" s="206"/>
      <c r="N184" s="208">
        <f>$BK$184</f>
        <v>0</v>
      </c>
      <c r="O184" s="206"/>
      <c r="P184" s="206"/>
      <c r="Q184" s="206"/>
      <c r="R184" s="22"/>
      <c r="T184" s="127"/>
      <c r="U184" s="156" t="s">
        <v>42</v>
      </c>
      <c r="AA184" s="54"/>
      <c r="AT184" s="6" t="s">
        <v>314</v>
      </c>
      <c r="AU184" s="6" t="s">
        <v>17</v>
      </c>
      <c r="AY184" s="6" t="s">
        <v>314</v>
      </c>
      <c r="BE184" s="82">
        <f>IF($U$184="základní",$N$184,0)</f>
        <v>0</v>
      </c>
      <c r="BF184" s="82">
        <f>IF($U$184="snížená",$N$184,0)</f>
        <v>0</v>
      </c>
      <c r="BG184" s="82">
        <f>IF($U$184="zákl. přenesená",$N$184,0)</f>
        <v>0</v>
      </c>
      <c r="BH184" s="82">
        <f>IF($U$184="sníž. přenesená",$N$184,0)</f>
        <v>0</v>
      </c>
      <c r="BI184" s="82">
        <f>IF($U$184="nulová",$N$184,0)</f>
        <v>0</v>
      </c>
      <c r="BJ184" s="6" t="s">
        <v>141</v>
      </c>
      <c r="BK184" s="82">
        <f>$L$184*$K$184</f>
        <v>0</v>
      </c>
    </row>
    <row r="185" spans="2:63" s="6" customFormat="1" ht="23.25" customHeight="1">
      <c r="B185" s="21"/>
      <c r="C185" s="153"/>
      <c r="D185" s="153" t="s">
        <v>164</v>
      </c>
      <c r="E185" s="154"/>
      <c r="F185" s="219"/>
      <c r="G185" s="220"/>
      <c r="H185" s="220"/>
      <c r="I185" s="220"/>
      <c r="J185" s="155"/>
      <c r="K185" s="140"/>
      <c r="L185" s="207"/>
      <c r="M185" s="206"/>
      <c r="N185" s="208">
        <f>$BK$185</f>
        <v>0</v>
      </c>
      <c r="O185" s="206"/>
      <c r="P185" s="206"/>
      <c r="Q185" s="206"/>
      <c r="R185" s="22"/>
      <c r="T185" s="127"/>
      <c r="U185" s="156" t="s">
        <v>42</v>
      </c>
      <c r="AA185" s="54"/>
      <c r="AT185" s="6" t="s">
        <v>314</v>
      </c>
      <c r="AU185" s="6" t="s">
        <v>17</v>
      </c>
      <c r="AY185" s="6" t="s">
        <v>314</v>
      </c>
      <c r="BE185" s="82">
        <f>IF($U$185="základní",$N$185,0)</f>
        <v>0</v>
      </c>
      <c r="BF185" s="82">
        <f>IF($U$185="snížená",$N$185,0)</f>
        <v>0</v>
      </c>
      <c r="BG185" s="82">
        <f>IF($U$185="zákl. přenesená",$N$185,0)</f>
        <v>0</v>
      </c>
      <c r="BH185" s="82">
        <f>IF($U$185="sníž. přenesená",$N$185,0)</f>
        <v>0</v>
      </c>
      <c r="BI185" s="82">
        <f>IF($U$185="nulová",$N$185,0)</f>
        <v>0</v>
      </c>
      <c r="BJ185" s="6" t="s">
        <v>141</v>
      </c>
      <c r="BK185" s="82">
        <f>$L$185*$K$185</f>
        <v>0</v>
      </c>
    </row>
    <row r="186" spans="2:63" s="6" customFormat="1" ht="23.25" customHeight="1">
      <c r="B186" s="21"/>
      <c r="C186" s="153"/>
      <c r="D186" s="153" t="s">
        <v>164</v>
      </c>
      <c r="E186" s="154"/>
      <c r="F186" s="219"/>
      <c r="G186" s="220"/>
      <c r="H186" s="220"/>
      <c r="I186" s="220"/>
      <c r="J186" s="155"/>
      <c r="K186" s="140"/>
      <c r="L186" s="207"/>
      <c r="M186" s="206"/>
      <c r="N186" s="208">
        <f>$BK$186</f>
        <v>0</v>
      </c>
      <c r="O186" s="206"/>
      <c r="P186" s="206"/>
      <c r="Q186" s="206"/>
      <c r="R186" s="22"/>
      <c r="T186" s="127"/>
      <c r="U186" s="156" t="s">
        <v>42</v>
      </c>
      <c r="V186" s="40"/>
      <c r="W186" s="40"/>
      <c r="X186" s="40"/>
      <c r="Y186" s="40"/>
      <c r="Z186" s="40"/>
      <c r="AA186" s="42"/>
      <c r="AT186" s="6" t="s">
        <v>314</v>
      </c>
      <c r="AU186" s="6" t="s">
        <v>17</v>
      </c>
      <c r="AY186" s="6" t="s">
        <v>314</v>
      </c>
      <c r="BE186" s="82">
        <f>IF($U$186="základní",$N$186,0)</f>
        <v>0</v>
      </c>
      <c r="BF186" s="82">
        <f>IF($U$186="snížená",$N$186,0)</f>
        <v>0</v>
      </c>
      <c r="BG186" s="82">
        <f>IF($U$186="zákl. přenesená",$N$186,0)</f>
        <v>0</v>
      </c>
      <c r="BH186" s="82">
        <f>IF($U$186="sníž. přenesená",$N$186,0)</f>
        <v>0</v>
      </c>
      <c r="BI186" s="82">
        <f>IF($U$186="nulová",$N$186,0)</f>
        <v>0</v>
      </c>
      <c r="BJ186" s="6" t="s">
        <v>141</v>
      </c>
      <c r="BK186" s="82">
        <f>$L$186*$K$186</f>
        <v>0</v>
      </c>
    </row>
    <row r="187" spans="2:18" s="6" customFormat="1" ht="7.5" customHeight="1">
      <c r="B187" s="43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5"/>
    </row>
    <row r="215" s="2" customFormat="1" ht="14.25" customHeight="1"/>
  </sheetData>
  <sheetProtection/>
  <mergeCells count="201">
    <mergeCell ref="S2:AC2"/>
    <mergeCell ref="N152:Q152"/>
    <mergeCell ref="N153:Q153"/>
    <mergeCell ref="N161:Q161"/>
    <mergeCell ref="N167:Q167"/>
    <mergeCell ref="N181:Q181"/>
    <mergeCell ref="H1:K1"/>
    <mergeCell ref="N125:Q125"/>
    <mergeCell ref="N126:Q126"/>
    <mergeCell ref="N127:Q127"/>
    <mergeCell ref="N133:Q133"/>
    <mergeCell ref="N139:Q139"/>
    <mergeCell ref="N145:Q145"/>
    <mergeCell ref="F185:I185"/>
    <mergeCell ref="L185:M185"/>
    <mergeCell ref="N185:Q185"/>
    <mergeCell ref="F186:I186"/>
    <mergeCell ref="L186:M186"/>
    <mergeCell ref="N186:Q186"/>
    <mergeCell ref="F183:I183"/>
    <mergeCell ref="L183:M183"/>
    <mergeCell ref="N183:Q183"/>
    <mergeCell ref="F184:I184"/>
    <mergeCell ref="L184:M184"/>
    <mergeCell ref="N184:Q184"/>
    <mergeCell ref="F180:I180"/>
    <mergeCell ref="L180:M180"/>
    <mergeCell ref="N180:Q180"/>
    <mergeCell ref="F182:I182"/>
    <mergeCell ref="L182:M182"/>
    <mergeCell ref="N182:Q182"/>
    <mergeCell ref="F176:I176"/>
    <mergeCell ref="L176:M176"/>
    <mergeCell ref="N176:Q176"/>
    <mergeCell ref="F177:I177"/>
    <mergeCell ref="F178:I178"/>
    <mergeCell ref="F179:I179"/>
    <mergeCell ref="L179:M179"/>
    <mergeCell ref="N179:Q179"/>
    <mergeCell ref="F172:I172"/>
    <mergeCell ref="F173:I173"/>
    <mergeCell ref="F174:I174"/>
    <mergeCell ref="F175:I175"/>
    <mergeCell ref="L175:M175"/>
    <mergeCell ref="N175:Q175"/>
    <mergeCell ref="F168:I168"/>
    <mergeCell ref="L168:M168"/>
    <mergeCell ref="N168:Q168"/>
    <mergeCell ref="F169:I169"/>
    <mergeCell ref="F170:I170"/>
    <mergeCell ref="F171:I171"/>
    <mergeCell ref="L171:M171"/>
    <mergeCell ref="N171:Q171"/>
    <mergeCell ref="F165:I165"/>
    <mergeCell ref="L165:M165"/>
    <mergeCell ref="N165:Q165"/>
    <mergeCell ref="F166:I166"/>
    <mergeCell ref="L166:M166"/>
    <mergeCell ref="N166:Q166"/>
    <mergeCell ref="F162:I162"/>
    <mergeCell ref="L162:M162"/>
    <mergeCell ref="N162:Q162"/>
    <mergeCell ref="F163:I163"/>
    <mergeCell ref="F164:I164"/>
    <mergeCell ref="L164:M164"/>
    <mergeCell ref="N164:Q164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4:I154"/>
    <mergeCell ref="L154:M154"/>
    <mergeCell ref="N154:Q154"/>
    <mergeCell ref="F155:I155"/>
    <mergeCell ref="F156:I156"/>
    <mergeCell ref="L156:M156"/>
    <mergeCell ref="N156:Q156"/>
    <mergeCell ref="F149:I149"/>
    <mergeCell ref="F150:I150"/>
    <mergeCell ref="L150:M150"/>
    <mergeCell ref="N150:Q150"/>
    <mergeCell ref="F151:I151"/>
    <mergeCell ref="L151:M151"/>
    <mergeCell ref="N151:Q151"/>
    <mergeCell ref="N146:Q146"/>
    <mergeCell ref="F147:I147"/>
    <mergeCell ref="L147:M147"/>
    <mergeCell ref="N147:Q147"/>
    <mergeCell ref="F148:I148"/>
    <mergeCell ref="L148:M148"/>
    <mergeCell ref="N148:Q148"/>
    <mergeCell ref="F141:I141"/>
    <mergeCell ref="F142:I142"/>
    <mergeCell ref="F143:I143"/>
    <mergeCell ref="F144:I144"/>
    <mergeCell ref="F146:I146"/>
    <mergeCell ref="L146:M146"/>
    <mergeCell ref="F138:I138"/>
    <mergeCell ref="L138:M138"/>
    <mergeCell ref="N138:Q138"/>
    <mergeCell ref="F140:I140"/>
    <mergeCell ref="L140:M140"/>
    <mergeCell ref="N140:Q140"/>
    <mergeCell ref="F135:I135"/>
    <mergeCell ref="F136:I136"/>
    <mergeCell ref="L136:M136"/>
    <mergeCell ref="N136:Q136"/>
    <mergeCell ref="F137:I137"/>
    <mergeCell ref="L137:M137"/>
    <mergeCell ref="N137:Q137"/>
    <mergeCell ref="F130:I130"/>
    <mergeCell ref="F131:I131"/>
    <mergeCell ref="L131:M131"/>
    <mergeCell ref="N131:Q131"/>
    <mergeCell ref="F132:I132"/>
    <mergeCell ref="F134:I134"/>
    <mergeCell ref="L134:M134"/>
    <mergeCell ref="N134:Q134"/>
    <mergeCell ref="F128:I128"/>
    <mergeCell ref="L128:M128"/>
    <mergeCell ref="N128:Q128"/>
    <mergeCell ref="F129:I129"/>
    <mergeCell ref="L129:M129"/>
    <mergeCell ref="N129:Q129"/>
    <mergeCell ref="F117:P117"/>
    <mergeCell ref="M119:P119"/>
    <mergeCell ref="M121:Q121"/>
    <mergeCell ref="M122:Q122"/>
    <mergeCell ref="F124:I124"/>
    <mergeCell ref="L124:M124"/>
    <mergeCell ref="N124:Q124"/>
    <mergeCell ref="D105:H105"/>
    <mergeCell ref="N105:Q105"/>
    <mergeCell ref="N106:Q106"/>
    <mergeCell ref="L108:Q108"/>
    <mergeCell ref="C114:Q114"/>
    <mergeCell ref="F116:P116"/>
    <mergeCell ref="D102:H102"/>
    <mergeCell ref="N102:Q102"/>
    <mergeCell ref="D103:H103"/>
    <mergeCell ref="N103:Q103"/>
    <mergeCell ref="D104:H104"/>
    <mergeCell ref="N104:Q104"/>
    <mergeCell ref="N95:Q95"/>
    <mergeCell ref="N96:Q96"/>
    <mergeCell ref="N97:Q97"/>
    <mergeCell ref="N98:Q98"/>
    <mergeCell ref="N100:Q100"/>
    <mergeCell ref="D101:H101"/>
    <mergeCell ref="N101:Q101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182:D187">
      <formula1>"K,M"</formula1>
    </dataValidation>
    <dataValidation type="list" allowBlank="1" showInputMessage="1" showErrorMessage="1" error="Povoleny jsou hodnoty základní, snížená, zákl. přenesená, sníž. přenesená, nulová." sqref="U182:U187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4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29"/>
      <c r="B1" s="226"/>
      <c r="C1" s="226"/>
      <c r="D1" s="227" t="s">
        <v>1</v>
      </c>
      <c r="E1" s="226"/>
      <c r="F1" s="228" t="s">
        <v>431</v>
      </c>
      <c r="G1" s="228"/>
      <c r="H1" s="230" t="s">
        <v>432</v>
      </c>
      <c r="I1" s="230"/>
      <c r="J1" s="230"/>
      <c r="K1" s="230"/>
      <c r="L1" s="228" t="s">
        <v>433</v>
      </c>
      <c r="M1" s="226"/>
      <c r="N1" s="226"/>
      <c r="O1" s="227" t="s">
        <v>116</v>
      </c>
      <c r="P1" s="226"/>
      <c r="Q1" s="226"/>
      <c r="R1" s="226"/>
      <c r="S1" s="228" t="s">
        <v>434</v>
      </c>
      <c r="T1" s="228"/>
      <c r="U1" s="229"/>
      <c r="V1" s="22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7" t="s">
        <v>4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91" t="s">
        <v>5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2" t="s">
        <v>97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17</v>
      </c>
    </row>
    <row r="4" spans="2:46" s="2" customFormat="1" ht="37.5" customHeight="1">
      <c r="B4" s="10"/>
      <c r="C4" s="159" t="s">
        <v>117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14</v>
      </c>
      <c r="F6" s="192" t="str">
        <f>'Rekapitulace stavby'!$K$6</f>
        <v>1327 - Stavební úpravy stávajícího objektu - rozdělení sklepních kójí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R6" s="11"/>
    </row>
    <row r="7" spans="2:18" s="6" customFormat="1" ht="18.75" customHeight="1">
      <c r="B7" s="21"/>
      <c r="D7" s="14" t="s">
        <v>118</v>
      </c>
      <c r="F7" s="163" t="s">
        <v>414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  <c r="R7" s="22"/>
    </row>
    <row r="8" spans="2:18" s="6" customFormat="1" ht="7.5" customHeight="1">
      <c r="B8" s="21"/>
      <c r="R8" s="22"/>
    </row>
    <row r="9" spans="2:18" s="6" customFormat="1" ht="15" customHeight="1">
      <c r="B9" s="21"/>
      <c r="D9" s="15" t="s">
        <v>18</v>
      </c>
      <c r="F9" s="16" t="s">
        <v>19</v>
      </c>
      <c r="M9" s="15" t="s">
        <v>20</v>
      </c>
      <c r="O9" s="193" t="str">
        <f>'Rekapitulace stavby'!$AN$8</f>
        <v>08.07.2013</v>
      </c>
      <c r="P9" s="161"/>
      <c r="R9" s="22"/>
    </row>
    <row r="10" spans="2:18" s="6" customFormat="1" ht="7.5" customHeight="1">
      <c r="B10" s="21"/>
      <c r="R10" s="22"/>
    </row>
    <row r="11" spans="2:18" s="6" customFormat="1" ht="15" customHeight="1">
      <c r="B11" s="21"/>
      <c r="D11" s="15" t="s">
        <v>24</v>
      </c>
      <c r="M11" s="15" t="s">
        <v>25</v>
      </c>
      <c r="O11" s="174"/>
      <c r="P11" s="161"/>
      <c r="R11" s="22"/>
    </row>
    <row r="12" spans="2:18" s="6" customFormat="1" ht="18.75" customHeight="1">
      <c r="B12" s="21"/>
      <c r="E12" s="16" t="s">
        <v>26</v>
      </c>
      <c r="M12" s="15" t="s">
        <v>27</v>
      </c>
      <c r="O12" s="174"/>
      <c r="P12" s="161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5" t="s">
        <v>28</v>
      </c>
      <c r="M14" s="15" t="s">
        <v>25</v>
      </c>
      <c r="O14" s="194" t="str">
        <f>IF('Rekapitulace stavby'!$AN$13="","",'Rekapitulace stavby'!$AN$13)</f>
        <v>Vyplň údaj</v>
      </c>
      <c r="P14" s="161"/>
      <c r="R14" s="22"/>
    </row>
    <row r="15" spans="2:18" s="6" customFormat="1" ht="18.75" customHeight="1">
      <c r="B15" s="21"/>
      <c r="E15" s="194" t="str">
        <f>IF('Rekapitulace stavby'!$E$14="","",'Rekapitulace stavby'!$E$14)</f>
        <v>Vyplň údaj</v>
      </c>
      <c r="F15" s="161"/>
      <c r="G15" s="161"/>
      <c r="H15" s="161"/>
      <c r="I15" s="161"/>
      <c r="J15" s="161"/>
      <c r="K15" s="161"/>
      <c r="L15" s="161"/>
      <c r="M15" s="15" t="s">
        <v>27</v>
      </c>
      <c r="O15" s="194" t="str">
        <f>IF('Rekapitulace stavby'!$AN$14="","",'Rekapitulace stavby'!$AN$14)</f>
        <v>Vyplň údaj</v>
      </c>
      <c r="P15" s="161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5" t="s">
        <v>30</v>
      </c>
      <c r="M17" s="15" t="s">
        <v>25</v>
      </c>
      <c r="O17" s="174"/>
      <c r="P17" s="161"/>
      <c r="R17" s="22"/>
    </row>
    <row r="18" spans="2:18" s="6" customFormat="1" ht="18.75" customHeight="1">
      <c r="B18" s="21"/>
      <c r="E18" s="16" t="s">
        <v>31</v>
      </c>
      <c r="M18" s="15" t="s">
        <v>27</v>
      </c>
      <c r="O18" s="174"/>
      <c r="P18" s="161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5" t="s">
        <v>33</v>
      </c>
      <c r="M20" s="15" t="s">
        <v>25</v>
      </c>
      <c r="O20" s="174" t="s">
        <v>34</v>
      </c>
      <c r="P20" s="161"/>
      <c r="R20" s="22"/>
    </row>
    <row r="21" spans="2:18" s="6" customFormat="1" ht="18.75" customHeight="1">
      <c r="B21" s="21"/>
      <c r="E21" s="16" t="s">
        <v>31</v>
      </c>
      <c r="M21" s="15" t="s">
        <v>27</v>
      </c>
      <c r="O21" s="174" t="s">
        <v>35</v>
      </c>
      <c r="P21" s="161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R23" s="22"/>
    </row>
    <row r="24" spans="2:18" s="6" customFormat="1" ht="15" customHeight="1">
      <c r="B24" s="21"/>
      <c r="D24" s="90" t="s">
        <v>120</v>
      </c>
      <c r="M24" s="165">
        <f>$N$88</f>
        <v>0</v>
      </c>
      <c r="N24" s="161"/>
      <c r="O24" s="161"/>
      <c r="P24" s="161"/>
      <c r="R24" s="22"/>
    </row>
    <row r="25" spans="2:18" s="6" customFormat="1" ht="15" customHeight="1">
      <c r="B25" s="21"/>
      <c r="D25" s="20" t="s">
        <v>108</v>
      </c>
      <c r="M25" s="165">
        <f>$N$102</f>
        <v>0</v>
      </c>
      <c r="N25" s="161"/>
      <c r="O25" s="161"/>
      <c r="P25" s="161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91" t="s">
        <v>38</v>
      </c>
      <c r="M27" s="195">
        <f>ROUNDUP($M$24+$M$25,2)</f>
        <v>0</v>
      </c>
      <c r="N27" s="161"/>
      <c r="O27" s="161"/>
      <c r="P27" s="161"/>
      <c r="R27" s="22"/>
    </row>
    <row r="28" spans="2:18" s="6" customFormat="1" ht="7.5" customHeight="1">
      <c r="B28" s="2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R28" s="22"/>
    </row>
    <row r="29" spans="2:18" s="6" customFormat="1" ht="15" customHeight="1">
      <c r="B29" s="21"/>
      <c r="D29" s="26" t="s">
        <v>39</v>
      </c>
      <c r="E29" s="26" t="s">
        <v>40</v>
      </c>
      <c r="F29" s="27">
        <v>0.21</v>
      </c>
      <c r="G29" s="92" t="s">
        <v>41</v>
      </c>
      <c r="H29" s="196">
        <f>ROUNDUP((((SUM($BE$102:$BE$109)+SUM($BE$127:$BE$198))+SUM($BE$200:$BE$204))),2)</f>
        <v>0</v>
      </c>
      <c r="I29" s="161"/>
      <c r="J29" s="161"/>
      <c r="M29" s="196">
        <f>ROUNDUP((((SUM($BE$102:$BE$109)+SUM($BE$127:$BE$198))*$F$29)+SUM($BE$200:$BE$204)*$F$29),1)</f>
        <v>0</v>
      </c>
      <c r="N29" s="161"/>
      <c r="O29" s="161"/>
      <c r="P29" s="161"/>
      <c r="R29" s="22"/>
    </row>
    <row r="30" spans="2:18" s="6" customFormat="1" ht="15" customHeight="1">
      <c r="B30" s="21"/>
      <c r="E30" s="26" t="s">
        <v>42</v>
      </c>
      <c r="F30" s="27">
        <v>0.15</v>
      </c>
      <c r="G30" s="92" t="s">
        <v>41</v>
      </c>
      <c r="H30" s="196">
        <f>ROUNDUP((((SUM($BF$102:$BF$109)+SUM($BF$127:$BF$198))+SUM($BF$200:$BF$204))),2)</f>
        <v>0</v>
      </c>
      <c r="I30" s="161"/>
      <c r="J30" s="161"/>
      <c r="M30" s="196">
        <f>ROUNDUP((((SUM($BF$102:$BF$109)+SUM($BF$127:$BF$198))*$F$30)+SUM($BF$200:$BF$204)*$F$30),1)</f>
        <v>0</v>
      </c>
      <c r="N30" s="161"/>
      <c r="O30" s="161"/>
      <c r="P30" s="161"/>
      <c r="R30" s="22"/>
    </row>
    <row r="31" spans="2:18" s="6" customFormat="1" ht="15" customHeight="1" hidden="1">
      <c r="B31" s="21"/>
      <c r="E31" s="26" t="s">
        <v>43</v>
      </c>
      <c r="F31" s="27">
        <v>0.21</v>
      </c>
      <c r="G31" s="92" t="s">
        <v>41</v>
      </c>
      <c r="H31" s="196">
        <f>ROUNDUP((((SUM($BG$102:$BG$109)+SUM($BG$127:$BG$198))+SUM($BG$200:$BG$204))),2)</f>
        <v>0</v>
      </c>
      <c r="I31" s="161"/>
      <c r="J31" s="161"/>
      <c r="M31" s="196">
        <v>0</v>
      </c>
      <c r="N31" s="161"/>
      <c r="O31" s="161"/>
      <c r="P31" s="161"/>
      <c r="R31" s="22"/>
    </row>
    <row r="32" spans="2:18" s="6" customFormat="1" ht="15" customHeight="1" hidden="1">
      <c r="B32" s="21"/>
      <c r="E32" s="26" t="s">
        <v>44</v>
      </c>
      <c r="F32" s="27">
        <v>0.15</v>
      </c>
      <c r="G32" s="92" t="s">
        <v>41</v>
      </c>
      <c r="H32" s="196">
        <f>ROUNDUP((((SUM($BH$102:$BH$109)+SUM($BH$127:$BH$198))+SUM($BH$200:$BH$204))),2)</f>
        <v>0</v>
      </c>
      <c r="I32" s="161"/>
      <c r="J32" s="161"/>
      <c r="M32" s="196">
        <v>0</v>
      </c>
      <c r="N32" s="161"/>
      <c r="O32" s="161"/>
      <c r="P32" s="161"/>
      <c r="R32" s="22"/>
    </row>
    <row r="33" spans="2:18" s="6" customFormat="1" ht="15" customHeight="1" hidden="1">
      <c r="B33" s="21"/>
      <c r="E33" s="26" t="s">
        <v>45</v>
      </c>
      <c r="F33" s="27">
        <v>0</v>
      </c>
      <c r="G33" s="92" t="s">
        <v>41</v>
      </c>
      <c r="H33" s="196">
        <f>ROUNDUP((((SUM($BI$102:$BI$109)+SUM($BI$127:$BI$198))+SUM($BI$200:$BI$204))),2)</f>
        <v>0</v>
      </c>
      <c r="I33" s="161"/>
      <c r="J33" s="161"/>
      <c r="M33" s="196">
        <v>0</v>
      </c>
      <c r="N33" s="161"/>
      <c r="O33" s="161"/>
      <c r="P33" s="161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30"/>
      <c r="D35" s="31" t="s">
        <v>46</v>
      </c>
      <c r="E35" s="32"/>
      <c r="F35" s="32"/>
      <c r="G35" s="93" t="s">
        <v>47</v>
      </c>
      <c r="H35" s="33" t="s">
        <v>48</v>
      </c>
      <c r="I35" s="32"/>
      <c r="J35" s="32"/>
      <c r="K35" s="32"/>
      <c r="L35" s="172">
        <f>ROUNDUP(SUM($M$27:$M$33),2)</f>
        <v>0</v>
      </c>
      <c r="M35" s="171"/>
      <c r="N35" s="171"/>
      <c r="O35" s="171"/>
      <c r="P35" s="173"/>
      <c r="Q35" s="30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4" t="s">
        <v>49</v>
      </c>
      <c r="E50" s="35"/>
      <c r="F50" s="35"/>
      <c r="G50" s="35"/>
      <c r="H50" s="36"/>
      <c r="J50" s="34" t="s">
        <v>50</v>
      </c>
      <c r="K50" s="35"/>
      <c r="L50" s="35"/>
      <c r="M50" s="35"/>
      <c r="N50" s="35"/>
      <c r="O50" s="35"/>
      <c r="P50" s="36"/>
      <c r="R50" s="22"/>
    </row>
    <row r="51" spans="2:18" s="2" customFormat="1" ht="14.25" customHeight="1">
      <c r="B51" s="10"/>
      <c r="D51" s="37"/>
      <c r="H51" s="38"/>
      <c r="J51" s="37"/>
      <c r="P51" s="38"/>
      <c r="R51" s="11"/>
    </row>
    <row r="52" spans="2:18" s="2" customFormat="1" ht="14.25" customHeight="1">
      <c r="B52" s="10"/>
      <c r="D52" s="37"/>
      <c r="H52" s="38"/>
      <c r="J52" s="37"/>
      <c r="P52" s="38"/>
      <c r="R52" s="11"/>
    </row>
    <row r="53" spans="2:18" s="2" customFormat="1" ht="14.25" customHeight="1">
      <c r="B53" s="10"/>
      <c r="D53" s="37"/>
      <c r="H53" s="38"/>
      <c r="J53" s="37"/>
      <c r="P53" s="38"/>
      <c r="R53" s="11"/>
    </row>
    <row r="54" spans="2:18" s="2" customFormat="1" ht="14.25" customHeight="1">
      <c r="B54" s="10"/>
      <c r="D54" s="37"/>
      <c r="H54" s="38"/>
      <c r="J54" s="37"/>
      <c r="P54" s="38"/>
      <c r="R54" s="11"/>
    </row>
    <row r="55" spans="2:18" s="2" customFormat="1" ht="14.25" customHeight="1">
      <c r="B55" s="10"/>
      <c r="D55" s="37"/>
      <c r="H55" s="38"/>
      <c r="J55" s="37"/>
      <c r="P55" s="38"/>
      <c r="R55" s="11"/>
    </row>
    <row r="56" spans="2:18" s="2" customFormat="1" ht="14.25" customHeight="1">
      <c r="B56" s="10"/>
      <c r="D56" s="37"/>
      <c r="H56" s="38"/>
      <c r="J56" s="37"/>
      <c r="P56" s="38"/>
      <c r="R56" s="11"/>
    </row>
    <row r="57" spans="2:18" s="2" customFormat="1" ht="14.25" customHeight="1">
      <c r="B57" s="10"/>
      <c r="D57" s="37"/>
      <c r="H57" s="38"/>
      <c r="J57" s="37"/>
      <c r="P57" s="38"/>
      <c r="R57" s="11"/>
    </row>
    <row r="58" spans="2:18" s="2" customFormat="1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1"/>
      <c r="D59" s="39" t="s">
        <v>51</v>
      </c>
      <c r="E59" s="40"/>
      <c r="F59" s="40"/>
      <c r="G59" s="41" t="s">
        <v>52</v>
      </c>
      <c r="H59" s="42"/>
      <c r="J59" s="39" t="s">
        <v>51</v>
      </c>
      <c r="K59" s="40"/>
      <c r="L59" s="40"/>
      <c r="M59" s="40"/>
      <c r="N59" s="41" t="s">
        <v>52</v>
      </c>
      <c r="O59" s="40"/>
      <c r="P59" s="42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4" t="s">
        <v>53</v>
      </c>
      <c r="E61" s="35"/>
      <c r="F61" s="35"/>
      <c r="G61" s="35"/>
      <c r="H61" s="36"/>
      <c r="J61" s="34" t="s">
        <v>54</v>
      </c>
      <c r="K61" s="35"/>
      <c r="L61" s="35"/>
      <c r="M61" s="35"/>
      <c r="N61" s="35"/>
      <c r="O61" s="35"/>
      <c r="P61" s="36"/>
      <c r="R61" s="22"/>
    </row>
    <row r="62" spans="2:18" s="2" customFormat="1" ht="14.25" customHeight="1">
      <c r="B62" s="10"/>
      <c r="D62" s="37"/>
      <c r="H62" s="38"/>
      <c r="J62" s="37"/>
      <c r="P62" s="38"/>
      <c r="R62" s="11"/>
    </row>
    <row r="63" spans="2:18" s="2" customFormat="1" ht="14.25" customHeight="1">
      <c r="B63" s="10"/>
      <c r="D63" s="37"/>
      <c r="H63" s="38"/>
      <c r="J63" s="37"/>
      <c r="P63" s="38"/>
      <c r="R63" s="11"/>
    </row>
    <row r="64" spans="2:18" s="2" customFormat="1" ht="14.25" customHeight="1">
      <c r="B64" s="10"/>
      <c r="D64" s="37"/>
      <c r="H64" s="38"/>
      <c r="J64" s="37"/>
      <c r="P64" s="38"/>
      <c r="R64" s="11"/>
    </row>
    <row r="65" spans="2:18" s="2" customFormat="1" ht="14.25" customHeight="1">
      <c r="B65" s="10"/>
      <c r="D65" s="37"/>
      <c r="H65" s="38"/>
      <c r="J65" s="37"/>
      <c r="P65" s="38"/>
      <c r="R65" s="11"/>
    </row>
    <row r="66" spans="2:18" s="2" customFormat="1" ht="14.25" customHeight="1">
      <c r="B66" s="10"/>
      <c r="D66" s="37"/>
      <c r="H66" s="38"/>
      <c r="J66" s="37"/>
      <c r="P66" s="38"/>
      <c r="R66" s="11"/>
    </row>
    <row r="67" spans="2:18" s="2" customFormat="1" ht="14.25" customHeight="1">
      <c r="B67" s="10"/>
      <c r="D67" s="37"/>
      <c r="H67" s="38"/>
      <c r="J67" s="37"/>
      <c r="P67" s="38"/>
      <c r="R67" s="11"/>
    </row>
    <row r="68" spans="2:18" s="2" customFormat="1" ht="14.25" customHeight="1">
      <c r="B68" s="10"/>
      <c r="D68" s="37"/>
      <c r="H68" s="38"/>
      <c r="J68" s="37"/>
      <c r="P68" s="38"/>
      <c r="R68" s="11"/>
    </row>
    <row r="69" spans="2:18" s="2" customFormat="1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1"/>
      <c r="D70" s="39" t="s">
        <v>51</v>
      </c>
      <c r="E70" s="40"/>
      <c r="F70" s="40"/>
      <c r="G70" s="41" t="s">
        <v>52</v>
      </c>
      <c r="H70" s="42"/>
      <c r="J70" s="39" t="s">
        <v>51</v>
      </c>
      <c r="K70" s="40"/>
      <c r="L70" s="40"/>
      <c r="M70" s="40"/>
      <c r="N70" s="41" t="s">
        <v>52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59" t="s">
        <v>121</v>
      </c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22"/>
    </row>
    <row r="77" spans="2:18" s="6" customFormat="1" ht="7.5" customHeight="1">
      <c r="B77" s="21"/>
      <c r="R77" s="22"/>
    </row>
    <row r="78" spans="2:18" s="6" customFormat="1" ht="15" customHeight="1">
      <c r="B78" s="21"/>
      <c r="C78" s="15" t="s">
        <v>14</v>
      </c>
      <c r="F78" s="192" t="str">
        <f>$F$6</f>
        <v>1327 - Stavební úpravy stávajícího objektu - rozdělení sklepních kójí</v>
      </c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R78" s="22"/>
    </row>
    <row r="79" spans="2:18" s="6" customFormat="1" ht="15" customHeight="1">
      <c r="B79" s="21"/>
      <c r="C79" s="14" t="s">
        <v>118</v>
      </c>
      <c r="F79" s="163" t="str">
        <f>$F$7</f>
        <v>1327 e - Sklepní kóje čp. 637</v>
      </c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5" t="s">
        <v>18</v>
      </c>
      <c r="F81" s="16" t="str">
        <f>$F$9</f>
        <v>Kolín II, Benešova čp. 636 - 641</v>
      </c>
      <c r="K81" s="15" t="s">
        <v>20</v>
      </c>
      <c r="M81" s="197" t="str">
        <f>IF($O$9="","",$O$9)</f>
        <v>08.07.2013</v>
      </c>
      <c r="N81" s="161"/>
      <c r="O81" s="161"/>
      <c r="P81" s="161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5" t="s">
        <v>24</v>
      </c>
      <c r="F83" s="16" t="str">
        <f>$E$12</f>
        <v>Město Kolín, Karlovo náměstí 78, 280 02 Kolín 1</v>
      </c>
      <c r="K83" s="15" t="s">
        <v>30</v>
      </c>
      <c r="M83" s="174" t="str">
        <f>$E$18</f>
        <v>Ing. Karel Vrátný, Rubešova 60, 280 02 Kolín</v>
      </c>
      <c r="N83" s="161"/>
      <c r="O83" s="161"/>
      <c r="P83" s="161"/>
      <c r="Q83" s="161"/>
      <c r="R83" s="22"/>
    </row>
    <row r="84" spans="2:18" s="6" customFormat="1" ht="15" customHeight="1">
      <c r="B84" s="21"/>
      <c r="C84" s="15" t="s">
        <v>28</v>
      </c>
      <c r="F84" s="16" t="str">
        <f>IF($E$15="","",$E$15)</f>
        <v>Vyplň údaj</v>
      </c>
      <c r="K84" s="15" t="s">
        <v>33</v>
      </c>
      <c r="M84" s="174" t="str">
        <f>$E$21</f>
        <v>Ing. Karel Vrátný, Rubešova 60, 280 02 Kolín</v>
      </c>
      <c r="N84" s="161"/>
      <c r="O84" s="161"/>
      <c r="P84" s="161"/>
      <c r="Q84" s="161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198" t="s">
        <v>122</v>
      </c>
      <c r="D86" s="190"/>
      <c r="E86" s="190"/>
      <c r="F86" s="190"/>
      <c r="G86" s="190"/>
      <c r="H86" s="30"/>
      <c r="I86" s="30"/>
      <c r="J86" s="30"/>
      <c r="K86" s="30"/>
      <c r="L86" s="30"/>
      <c r="M86" s="30"/>
      <c r="N86" s="198" t="s">
        <v>123</v>
      </c>
      <c r="O86" s="161"/>
      <c r="P86" s="161"/>
      <c r="Q86" s="161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0" t="s">
        <v>124</v>
      </c>
      <c r="N88" s="187">
        <f>ROUNDUP($N$127,2)</f>
        <v>0</v>
      </c>
      <c r="O88" s="161"/>
      <c r="P88" s="161"/>
      <c r="Q88" s="161"/>
      <c r="R88" s="22"/>
      <c r="AU88" s="6" t="s">
        <v>125</v>
      </c>
    </row>
    <row r="89" spans="2:18" s="65" customFormat="1" ht="25.5" customHeight="1">
      <c r="B89" s="94"/>
      <c r="D89" s="95" t="s">
        <v>126</v>
      </c>
      <c r="N89" s="199">
        <f>ROUNDUP($N$128,2)</f>
        <v>0</v>
      </c>
      <c r="O89" s="200"/>
      <c r="P89" s="200"/>
      <c r="Q89" s="200"/>
      <c r="R89" s="96"/>
    </row>
    <row r="90" spans="2:18" s="90" customFormat="1" ht="21" customHeight="1">
      <c r="B90" s="97"/>
      <c r="D90" s="78" t="s">
        <v>127</v>
      </c>
      <c r="N90" s="185">
        <f>ROUNDUP($N$129,2)</f>
        <v>0</v>
      </c>
      <c r="O90" s="200"/>
      <c r="P90" s="200"/>
      <c r="Q90" s="200"/>
      <c r="R90" s="98"/>
    </row>
    <row r="91" spans="2:18" s="90" customFormat="1" ht="21" customHeight="1">
      <c r="B91" s="97"/>
      <c r="D91" s="78" t="s">
        <v>128</v>
      </c>
      <c r="N91" s="185">
        <f>ROUNDUP($N$135,2)</f>
        <v>0</v>
      </c>
      <c r="O91" s="200"/>
      <c r="P91" s="200"/>
      <c r="Q91" s="200"/>
      <c r="R91" s="98"/>
    </row>
    <row r="92" spans="2:18" s="90" customFormat="1" ht="21" customHeight="1">
      <c r="B92" s="97"/>
      <c r="D92" s="78" t="s">
        <v>129</v>
      </c>
      <c r="N92" s="185">
        <f>ROUNDUP($N$142,2)</f>
        <v>0</v>
      </c>
      <c r="O92" s="200"/>
      <c r="P92" s="200"/>
      <c r="Q92" s="200"/>
      <c r="R92" s="98"/>
    </row>
    <row r="93" spans="2:18" s="90" customFormat="1" ht="21" customHeight="1">
      <c r="B93" s="97"/>
      <c r="D93" s="78" t="s">
        <v>384</v>
      </c>
      <c r="N93" s="185">
        <f>ROUNDUP($N$148,2)</f>
        <v>0</v>
      </c>
      <c r="O93" s="200"/>
      <c r="P93" s="200"/>
      <c r="Q93" s="200"/>
      <c r="R93" s="98"/>
    </row>
    <row r="94" spans="2:18" s="65" customFormat="1" ht="25.5" customHeight="1">
      <c r="B94" s="94"/>
      <c r="D94" s="95" t="s">
        <v>131</v>
      </c>
      <c r="N94" s="199">
        <f>ROUNDUP($N$155,2)</f>
        <v>0</v>
      </c>
      <c r="O94" s="200"/>
      <c r="P94" s="200"/>
      <c r="Q94" s="200"/>
      <c r="R94" s="96"/>
    </row>
    <row r="95" spans="2:18" s="90" customFormat="1" ht="21" customHeight="1">
      <c r="B95" s="97"/>
      <c r="D95" s="78" t="s">
        <v>132</v>
      </c>
      <c r="N95" s="185">
        <f>ROUNDUP($N$156,2)</f>
        <v>0</v>
      </c>
      <c r="O95" s="200"/>
      <c r="P95" s="200"/>
      <c r="Q95" s="200"/>
      <c r="R95" s="98"/>
    </row>
    <row r="96" spans="2:18" s="90" customFormat="1" ht="21" customHeight="1">
      <c r="B96" s="97"/>
      <c r="D96" s="78" t="s">
        <v>133</v>
      </c>
      <c r="N96" s="185">
        <f>ROUNDUP($N$161,2)</f>
        <v>0</v>
      </c>
      <c r="O96" s="200"/>
      <c r="P96" s="200"/>
      <c r="Q96" s="200"/>
      <c r="R96" s="98"/>
    </row>
    <row r="97" spans="2:18" s="90" customFormat="1" ht="21" customHeight="1">
      <c r="B97" s="97"/>
      <c r="D97" s="78" t="s">
        <v>134</v>
      </c>
      <c r="N97" s="185">
        <f>ROUNDUP($N$167,2)</f>
        <v>0</v>
      </c>
      <c r="O97" s="200"/>
      <c r="P97" s="200"/>
      <c r="Q97" s="200"/>
      <c r="R97" s="98"/>
    </row>
    <row r="98" spans="2:18" s="90" customFormat="1" ht="21" customHeight="1">
      <c r="B98" s="97"/>
      <c r="D98" s="78" t="s">
        <v>135</v>
      </c>
      <c r="N98" s="185">
        <f>ROUNDUP($N$176,2)</f>
        <v>0</v>
      </c>
      <c r="O98" s="200"/>
      <c r="P98" s="200"/>
      <c r="Q98" s="200"/>
      <c r="R98" s="98"/>
    </row>
    <row r="99" spans="2:18" s="90" customFormat="1" ht="21" customHeight="1">
      <c r="B99" s="97"/>
      <c r="D99" s="78" t="s">
        <v>136</v>
      </c>
      <c r="N99" s="185">
        <f>ROUNDUP($N$182,2)</f>
        <v>0</v>
      </c>
      <c r="O99" s="200"/>
      <c r="P99" s="200"/>
      <c r="Q99" s="200"/>
      <c r="R99" s="98"/>
    </row>
    <row r="100" spans="2:18" s="65" customFormat="1" ht="22.5" customHeight="1">
      <c r="B100" s="94"/>
      <c r="D100" s="95" t="s">
        <v>137</v>
      </c>
      <c r="N100" s="201">
        <f>$N$199</f>
        <v>0</v>
      </c>
      <c r="O100" s="200"/>
      <c r="P100" s="200"/>
      <c r="Q100" s="200"/>
      <c r="R100" s="96"/>
    </row>
    <row r="101" spans="2:18" s="6" customFormat="1" ht="22.5" customHeight="1">
      <c r="B101" s="21"/>
      <c r="R101" s="22"/>
    </row>
    <row r="102" spans="2:21" s="6" customFormat="1" ht="30" customHeight="1">
      <c r="B102" s="21"/>
      <c r="C102" s="60" t="s">
        <v>138</v>
      </c>
      <c r="N102" s="187">
        <f>ROUNDUP($N$103+$N$104+$N$105+$N$106+$N$107+$N$108,2)</f>
        <v>0</v>
      </c>
      <c r="O102" s="161"/>
      <c r="P102" s="161"/>
      <c r="Q102" s="161"/>
      <c r="R102" s="22"/>
      <c r="T102" s="99"/>
      <c r="U102" s="100" t="s">
        <v>39</v>
      </c>
    </row>
    <row r="103" spans="2:62" s="6" customFormat="1" ht="18.75" customHeight="1">
      <c r="B103" s="21"/>
      <c r="D103" s="186" t="s">
        <v>139</v>
      </c>
      <c r="E103" s="161"/>
      <c r="F103" s="161"/>
      <c r="G103" s="161"/>
      <c r="H103" s="161"/>
      <c r="N103" s="184">
        <f>ROUNDUP($N$88*$T$103,2)</f>
        <v>0</v>
      </c>
      <c r="O103" s="161"/>
      <c r="P103" s="161"/>
      <c r="Q103" s="161"/>
      <c r="R103" s="22"/>
      <c r="T103" s="101"/>
      <c r="U103" s="102" t="s">
        <v>42</v>
      </c>
      <c r="AY103" s="6" t="s">
        <v>140</v>
      </c>
      <c r="BE103" s="82">
        <f>IF($U$103="základní",$N$103,0)</f>
        <v>0</v>
      </c>
      <c r="BF103" s="82">
        <f>IF($U$103="snížená",$N$103,0)</f>
        <v>0</v>
      </c>
      <c r="BG103" s="82">
        <f>IF($U$103="zákl. přenesená",$N$103,0)</f>
        <v>0</v>
      </c>
      <c r="BH103" s="82">
        <f>IF($U$103="sníž. přenesená",$N$103,0)</f>
        <v>0</v>
      </c>
      <c r="BI103" s="82">
        <f>IF($U$103="nulová",$N$103,0)</f>
        <v>0</v>
      </c>
      <c r="BJ103" s="6" t="s">
        <v>141</v>
      </c>
    </row>
    <row r="104" spans="2:62" s="6" customFormat="1" ht="18.75" customHeight="1">
      <c r="B104" s="21"/>
      <c r="D104" s="186" t="s">
        <v>142</v>
      </c>
      <c r="E104" s="161"/>
      <c r="F104" s="161"/>
      <c r="G104" s="161"/>
      <c r="H104" s="161"/>
      <c r="N104" s="184">
        <f>ROUNDUP($N$88*$T$104,2)</f>
        <v>0</v>
      </c>
      <c r="O104" s="161"/>
      <c r="P104" s="161"/>
      <c r="Q104" s="161"/>
      <c r="R104" s="22"/>
      <c r="T104" s="101"/>
      <c r="U104" s="102" t="s">
        <v>42</v>
      </c>
      <c r="AY104" s="6" t="s">
        <v>140</v>
      </c>
      <c r="BE104" s="82">
        <f>IF($U$104="základní",$N$104,0)</f>
        <v>0</v>
      </c>
      <c r="BF104" s="82">
        <f>IF($U$104="snížená",$N$104,0)</f>
        <v>0</v>
      </c>
      <c r="BG104" s="82">
        <f>IF($U$104="zákl. přenesená",$N$104,0)</f>
        <v>0</v>
      </c>
      <c r="BH104" s="82">
        <f>IF($U$104="sníž. přenesená",$N$104,0)</f>
        <v>0</v>
      </c>
      <c r="BI104" s="82">
        <f>IF($U$104="nulová",$N$104,0)</f>
        <v>0</v>
      </c>
      <c r="BJ104" s="6" t="s">
        <v>141</v>
      </c>
    </row>
    <row r="105" spans="2:62" s="6" customFormat="1" ht="18.75" customHeight="1">
      <c r="B105" s="21"/>
      <c r="D105" s="186" t="s">
        <v>143</v>
      </c>
      <c r="E105" s="161"/>
      <c r="F105" s="161"/>
      <c r="G105" s="161"/>
      <c r="H105" s="161"/>
      <c r="N105" s="184">
        <f>ROUNDUP($N$88*$T$105,2)</f>
        <v>0</v>
      </c>
      <c r="O105" s="161"/>
      <c r="P105" s="161"/>
      <c r="Q105" s="161"/>
      <c r="R105" s="22"/>
      <c r="T105" s="101"/>
      <c r="U105" s="102" t="s">
        <v>42</v>
      </c>
      <c r="AY105" s="6" t="s">
        <v>140</v>
      </c>
      <c r="BE105" s="82">
        <f>IF($U$105="základní",$N$105,0)</f>
        <v>0</v>
      </c>
      <c r="BF105" s="82">
        <f>IF($U$105="snížená",$N$105,0)</f>
        <v>0</v>
      </c>
      <c r="BG105" s="82">
        <f>IF($U$105="zákl. přenesená",$N$105,0)</f>
        <v>0</v>
      </c>
      <c r="BH105" s="82">
        <f>IF($U$105="sníž. přenesená",$N$105,0)</f>
        <v>0</v>
      </c>
      <c r="BI105" s="82">
        <f>IF($U$105="nulová",$N$105,0)</f>
        <v>0</v>
      </c>
      <c r="BJ105" s="6" t="s">
        <v>141</v>
      </c>
    </row>
    <row r="106" spans="2:62" s="6" customFormat="1" ht="18.75" customHeight="1">
      <c r="B106" s="21"/>
      <c r="D106" s="186" t="s">
        <v>144</v>
      </c>
      <c r="E106" s="161"/>
      <c r="F106" s="161"/>
      <c r="G106" s="161"/>
      <c r="H106" s="161"/>
      <c r="N106" s="184">
        <f>ROUNDUP($N$88*$T$106,2)</f>
        <v>0</v>
      </c>
      <c r="O106" s="161"/>
      <c r="P106" s="161"/>
      <c r="Q106" s="161"/>
      <c r="R106" s="22"/>
      <c r="T106" s="101"/>
      <c r="U106" s="102" t="s">
        <v>42</v>
      </c>
      <c r="AY106" s="6" t="s">
        <v>140</v>
      </c>
      <c r="BE106" s="82">
        <f>IF($U$106="základní",$N$106,0)</f>
        <v>0</v>
      </c>
      <c r="BF106" s="82">
        <f>IF($U$106="snížená",$N$106,0)</f>
        <v>0</v>
      </c>
      <c r="BG106" s="82">
        <f>IF($U$106="zákl. přenesená",$N$106,0)</f>
        <v>0</v>
      </c>
      <c r="BH106" s="82">
        <f>IF($U$106="sníž. přenesená",$N$106,0)</f>
        <v>0</v>
      </c>
      <c r="BI106" s="82">
        <f>IF($U$106="nulová",$N$106,0)</f>
        <v>0</v>
      </c>
      <c r="BJ106" s="6" t="s">
        <v>141</v>
      </c>
    </row>
    <row r="107" spans="2:62" s="6" customFormat="1" ht="18.75" customHeight="1">
      <c r="B107" s="21"/>
      <c r="D107" s="186" t="s">
        <v>145</v>
      </c>
      <c r="E107" s="161"/>
      <c r="F107" s="161"/>
      <c r="G107" s="161"/>
      <c r="H107" s="161"/>
      <c r="N107" s="184">
        <f>ROUNDUP($N$88*$T$107,2)</f>
        <v>0</v>
      </c>
      <c r="O107" s="161"/>
      <c r="P107" s="161"/>
      <c r="Q107" s="161"/>
      <c r="R107" s="22"/>
      <c r="T107" s="101"/>
      <c r="U107" s="102" t="s">
        <v>42</v>
      </c>
      <c r="AY107" s="6" t="s">
        <v>140</v>
      </c>
      <c r="BE107" s="82">
        <f>IF($U$107="základní",$N$107,0)</f>
        <v>0</v>
      </c>
      <c r="BF107" s="82">
        <f>IF($U$107="snížená",$N$107,0)</f>
        <v>0</v>
      </c>
      <c r="BG107" s="82">
        <f>IF($U$107="zákl. přenesená",$N$107,0)</f>
        <v>0</v>
      </c>
      <c r="BH107" s="82">
        <f>IF($U$107="sníž. přenesená",$N$107,0)</f>
        <v>0</v>
      </c>
      <c r="BI107" s="82">
        <f>IF($U$107="nulová",$N$107,0)</f>
        <v>0</v>
      </c>
      <c r="BJ107" s="6" t="s">
        <v>141</v>
      </c>
    </row>
    <row r="108" spans="2:62" s="6" customFormat="1" ht="18.75" customHeight="1">
      <c r="B108" s="21"/>
      <c r="D108" s="78" t="s">
        <v>146</v>
      </c>
      <c r="N108" s="184">
        <f>ROUNDUP($N$88*$T$108,2)</f>
        <v>0</v>
      </c>
      <c r="O108" s="161"/>
      <c r="P108" s="161"/>
      <c r="Q108" s="161"/>
      <c r="R108" s="22"/>
      <c r="T108" s="103"/>
      <c r="U108" s="104" t="s">
        <v>42</v>
      </c>
      <c r="AY108" s="6" t="s">
        <v>147</v>
      </c>
      <c r="BE108" s="82">
        <f>IF($U$108="základní",$N$108,0)</f>
        <v>0</v>
      </c>
      <c r="BF108" s="82">
        <f>IF($U$108="snížená",$N$108,0)</f>
        <v>0</v>
      </c>
      <c r="BG108" s="82">
        <f>IF($U$108="zákl. přenesená",$N$108,0)</f>
        <v>0</v>
      </c>
      <c r="BH108" s="82">
        <f>IF($U$108="sníž. přenesená",$N$108,0)</f>
        <v>0</v>
      </c>
      <c r="BI108" s="82">
        <f>IF($U$108="nulová",$N$108,0)</f>
        <v>0</v>
      </c>
      <c r="BJ108" s="6" t="s">
        <v>141</v>
      </c>
    </row>
    <row r="109" spans="2:18" s="6" customFormat="1" ht="14.25" customHeight="1">
      <c r="B109" s="21"/>
      <c r="R109" s="22"/>
    </row>
    <row r="110" spans="2:18" s="6" customFormat="1" ht="30" customHeight="1">
      <c r="B110" s="21"/>
      <c r="C110" s="89" t="s">
        <v>115</v>
      </c>
      <c r="D110" s="30"/>
      <c r="E110" s="30"/>
      <c r="F110" s="30"/>
      <c r="G110" s="30"/>
      <c r="H110" s="30"/>
      <c r="I110" s="30"/>
      <c r="J110" s="30"/>
      <c r="K110" s="30"/>
      <c r="L110" s="189">
        <f>ROUNDUP(SUM($N$88+$N$102),2)</f>
        <v>0</v>
      </c>
      <c r="M110" s="190"/>
      <c r="N110" s="190"/>
      <c r="O110" s="190"/>
      <c r="P110" s="190"/>
      <c r="Q110" s="190"/>
      <c r="R110" s="22"/>
    </row>
    <row r="111" spans="2:18" s="6" customFormat="1" ht="7.5" customHeight="1"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5"/>
    </row>
    <row r="115" spans="2:18" s="6" customFormat="1" ht="7.5" customHeight="1"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8"/>
    </row>
    <row r="116" spans="2:18" s="6" customFormat="1" ht="37.5" customHeight="1">
      <c r="B116" s="21"/>
      <c r="C116" s="159" t="s">
        <v>148</v>
      </c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22"/>
    </row>
    <row r="117" spans="2:18" s="6" customFormat="1" ht="7.5" customHeight="1">
      <c r="B117" s="21"/>
      <c r="R117" s="22"/>
    </row>
    <row r="118" spans="2:18" s="6" customFormat="1" ht="15" customHeight="1">
      <c r="B118" s="21"/>
      <c r="C118" s="15" t="s">
        <v>14</v>
      </c>
      <c r="F118" s="192" t="str">
        <f>$F$6</f>
        <v>1327 - Stavební úpravy stávajícího objektu - rozdělení sklepních kójí</v>
      </c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R118" s="22"/>
    </row>
    <row r="119" spans="2:18" s="6" customFormat="1" ht="15" customHeight="1">
      <c r="B119" s="21"/>
      <c r="C119" s="14" t="s">
        <v>118</v>
      </c>
      <c r="F119" s="163" t="str">
        <f>$F$7</f>
        <v>1327 e - Sklepní kóje čp. 637</v>
      </c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R119" s="22"/>
    </row>
    <row r="120" spans="2:18" s="6" customFormat="1" ht="7.5" customHeight="1">
      <c r="B120" s="21"/>
      <c r="R120" s="22"/>
    </row>
    <row r="121" spans="2:18" s="6" customFormat="1" ht="18.75" customHeight="1">
      <c r="B121" s="21"/>
      <c r="C121" s="15" t="s">
        <v>18</v>
      </c>
      <c r="F121" s="16" t="str">
        <f>$F$9</f>
        <v>Kolín II, Benešova čp. 636 - 641</v>
      </c>
      <c r="K121" s="15" t="s">
        <v>20</v>
      </c>
      <c r="M121" s="197" t="str">
        <f>IF($O$9="","",$O$9)</f>
        <v>08.07.2013</v>
      </c>
      <c r="N121" s="161"/>
      <c r="O121" s="161"/>
      <c r="P121" s="161"/>
      <c r="R121" s="22"/>
    </row>
    <row r="122" spans="2:18" s="6" customFormat="1" ht="7.5" customHeight="1">
      <c r="B122" s="21"/>
      <c r="R122" s="22"/>
    </row>
    <row r="123" spans="2:18" s="6" customFormat="1" ht="15.75" customHeight="1">
      <c r="B123" s="21"/>
      <c r="C123" s="15" t="s">
        <v>24</v>
      </c>
      <c r="F123" s="16" t="str">
        <f>$E$12</f>
        <v>Město Kolín, Karlovo náměstí 78, 280 02 Kolín 1</v>
      </c>
      <c r="K123" s="15" t="s">
        <v>30</v>
      </c>
      <c r="M123" s="174" t="str">
        <f>$E$18</f>
        <v>Ing. Karel Vrátný, Rubešova 60, 280 02 Kolín</v>
      </c>
      <c r="N123" s="161"/>
      <c r="O123" s="161"/>
      <c r="P123" s="161"/>
      <c r="Q123" s="161"/>
      <c r="R123" s="22"/>
    </row>
    <row r="124" spans="2:18" s="6" customFormat="1" ht="15" customHeight="1">
      <c r="B124" s="21"/>
      <c r="C124" s="15" t="s">
        <v>28</v>
      </c>
      <c r="F124" s="16" t="str">
        <f>IF($E$15="","",$E$15)</f>
        <v>Vyplň údaj</v>
      </c>
      <c r="K124" s="15" t="s">
        <v>33</v>
      </c>
      <c r="M124" s="174" t="str">
        <f>$E$21</f>
        <v>Ing. Karel Vrátný, Rubešova 60, 280 02 Kolín</v>
      </c>
      <c r="N124" s="161"/>
      <c r="O124" s="161"/>
      <c r="P124" s="161"/>
      <c r="Q124" s="161"/>
      <c r="R124" s="22"/>
    </row>
    <row r="125" spans="2:18" s="6" customFormat="1" ht="11.25" customHeight="1">
      <c r="B125" s="21"/>
      <c r="R125" s="22"/>
    </row>
    <row r="126" spans="2:27" s="105" customFormat="1" ht="30" customHeight="1">
      <c r="B126" s="106"/>
      <c r="C126" s="107" t="s">
        <v>149</v>
      </c>
      <c r="D126" s="108" t="s">
        <v>150</v>
      </c>
      <c r="E126" s="108" t="s">
        <v>57</v>
      </c>
      <c r="F126" s="202" t="s">
        <v>151</v>
      </c>
      <c r="G126" s="203"/>
      <c r="H126" s="203"/>
      <c r="I126" s="203"/>
      <c r="J126" s="108" t="s">
        <v>152</v>
      </c>
      <c r="K126" s="108" t="s">
        <v>153</v>
      </c>
      <c r="L126" s="202" t="s">
        <v>154</v>
      </c>
      <c r="M126" s="203"/>
      <c r="N126" s="202" t="s">
        <v>155</v>
      </c>
      <c r="O126" s="203"/>
      <c r="P126" s="203"/>
      <c r="Q126" s="204"/>
      <c r="R126" s="109"/>
      <c r="T126" s="55" t="s">
        <v>156</v>
      </c>
      <c r="U126" s="56" t="s">
        <v>39</v>
      </c>
      <c r="V126" s="56" t="s">
        <v>157</v>
      </c>
      <c r="W126" s="56" t="s">
        <v>158</v>
      </c>
      <c r="X126" s="56" t="s">
        <v>159</v>
      </c>
      <c r="Y126" s="56" t="s">
        <v>160</v>
      </c>
      <c r="Z126" s="56" t="s">
        <v>161</v>
      </c>
      <c r="AA126" s="57" t="s">
        <v>162</v>
      </c>
    </row>
    <row r="127" spans="2:63" s="6" customFormat="1" ht="30" customHeight="1">
      <c r="B127" s="21"/>
      <c r="C127" s="60" t="s">
        <v>120</v>
      </c>
      <c r="N127" s="221">
        <f>$BK$127</f>
        <v>0</v>
      </c>
      <c r="O127" s="161"/>
      <c r="P127" s="161"/>
      <c r="Q127" s="161"/>
      <c r="R127" s="22"/>
      <c r="T127" s="59"/>
      <c r="U127" s="35"/>
      <c r="V127" s="35"/>
      <c r="W127" s="110">
        <f>$W$128+$W$155+$W$199</f>
        <v>228.93338400000002</v>
      </c>
      <c r="X127" s="35"/>
      <c r="Y127" s="110">
        <f>$Y$128+$Y$155+$Y$199</f>
        <v>6.02349965</v>
      </c>
      <c r="Z127" s="35"/>
      <c r="AA127" s="111">
        <f>$AA$128+$AA$155+$AA$199</f>
        <v>0.5042824</v>
      </c>
      <c r="AT127" s="6" t="s">
        <v>74</v>
      </c>
      <c r="AU127" s="6" t="s">
        <v>125</v>
      </c>
      <c r="BK127" s="112">
        <f>$BK$128+$BK$155+$BK$199</f>
        <v>0</v>
      </c>
    </row>
    <row r="128" spans="2:63" s="113" customFormat="1" ht="37.5" customHeight="1">
      <c r="B128" s="114"/>
      <c r="D128" s="115" t="s">
        <v>126</v>
      </c>
      <c r="N128" s="201">
        <f>$BK$128</f>
        <v>0</v>
      </c>
      <c r="O128" s="222"/>
      <c r="P128" s="222"/>
      <c r="Q128" s="222"/>
      <c r="R128" s="117"/>
      <c r="T128" s="118"/>
      <c r="W128" s="119">
        <f>$W$129+$W$135+$W$142+$W$148</f>
        <v>118.930193</v>
      </c>
      <c r="Y128" s="119">
        <f>$Y$129+$Y$135+$Y$142+$Y$148</f>
        <v>5.65761568</v>
      </c>
      <c r="AA128" s="120">
        <f>$AA$129+$AA$135+$AA$142+$AA$148</f>
        <v>0</v>
      </c>
      <c r="AR128" s="116" t="s">
        <v>17</v>
      </c>
      <c r="AT128" s="116" t="s">
        <v>74</v>
      </c>
      <c r="AU128" s="116" t="s">
        <v>75</v>
      </c>
      <c r="AY128" s="116" t="s">
        <v>163</v>
      </c>
      <c r="BK128" s="121">
        <f>$BK$129+$BK$135+$BK$142+$BK$148</f>
        <v>0</v>
      </c>
    </row>
    <row r="129" spans="2:63" s="113" customFormat="1" ht="21" customHeight="1">
      <c r="B129" s="114"/>
      <c r="D129" s="122" t="s">
        <v>127</v>
      </c>
      <c r="N129" s="223">
        <f>$BK$129</f>
        <v>0</v>
      </c>
      <c r="O129" s="222"/>
      <c r="P129" s="222"/>
      <c r="Q129" s="222"/>
      <c r="R129" s="117"/>
      <c r="T129" s="118"/>
      <c r="W129" s="119">
        <f>SUM($W$130:$W$134)</f>
        <v>30.155825000000004</v>
      </c>
      <c r="Y129" s="119">
        <f>SUM($Y$130:$Y$134)</f>
        <v>3.5696988599999995</v>
      </c>
      <c r="AA129" s="120">
        <f>SUM($AA$130:$AA$134)</f>
        <v>0</v>
      </c>
      <c r="AR129" s="116" t="s">
        <v>17</v>
      </c>
      <c r="AT129" s="116" t="s">
        <v>74</v>
      </c>
      <c r="AU129" s="116" t="s">
        <v>17</v>
      </c>
      <c r="AY129" s="116" t="s">
        <v>163</v>
      </c>
      <c r="BK129" s="121">
        <f>SUM($BK$130:$BK$134)</f>
        <v>0</v>
      </c>
    </row>
    <row r="130" spans="2:64" s="6" customFormat="1" ht="39" customHeight="1">
      <c r="B130" s="21"/>
      <c r="C130" s="123" t="s">
        <v>17</v>
      </c>
      <c r="D130" s="123" t="s">
        <v>164</v>
      </c>
      <c r="E130" s="124" t="s">
        <v>165</v>
      </c>
      <c r="F130" s="205" t="s">
        <v>166</v>
      </c>
      <c r="G130" s="206"/>
      <c r="H130" s="206"/>
      <c r="I130" s="206"/>
      <c r="J130" s="125" t="s">
        <v>167</v>
      </c>
      <c r="K130" s="126">
        <v>5</v>
      </c>
      <c r="L130" s="207">
        <v>0</v>
      </c>
      <c r="M130" s="206"/>
      <c r="N130" s="208">
        <f>ROUND($L$130*$K$130,2)</f>
        <v>0</v>
      </c>
      <c r="O130" s="206"/>
      <c r="P130" s="206"/>
      <c r="Q130" s="206"/>
      <c r="R130" s="22"/>
      <c r="T130" s="127"/>
      <c r="U130" s="28" t="s">
        <v>42</v>
      </c>
      <c r="V130" s="128">
        <v>0.196</v>
      </c>
      <c r="W130" s="128">
        <f>$V$130*$K$130</f>
        <v>0.98</v>
      </c>
      <c r="X130" s="128">
        <v>0.02684</v>
      </c>
      <c r="Y130" s="128">
        <f>$X$130*$K$130</f>
        <v>0.13419999999999999</v>
      </c>
      <c r="Z130" s="128">
        <v>0</v>
      </c>
      <c r="AA130" s="129">
        <f>$Z$130*$K$130</f>
        <v>0</v>
      </c>
      <c r="AR130" s="6" t="s">
        <v>168</v>
      </c>
      <c r="AT130" s="6" t="s">
        <v>164</v>
      </c>
      <c r="AU130" s="6" t="s">
        <v>141</v>
      </c>
      <c r="AY130" s="6" t="s">
        <v>163</v>
      </c>
      <c r="BE130" s="82">
        <f>IF($U$130="základní",$N$130,0)</f>
        <v>0</v>
      </c>
      <c r="BF130" s="82">
        <f>IF($U$130="snížená",$N$130,0)</f>
        <v>0</v>
      </c>
      <c r="BG130" s="82">
        <f>IF($U$130="zákl. přenesená",$N$130,0)</f>
        <v>0</v>
      </c>
      <c r="BH130" s="82">
        <f>IF($U$130="sníž. přenesená",$N$130,0)</f>
        <v>0</v>
      </c>
      <c r="BI130" s="82">
        <f>IF($U$130="nulová",$N$130,0)</f>
        <v>0</v>
      </c>
      <c r="BJ130" s="6" t="s">
        <v>141</v>
      </c>
      <c r="BK130" s="82">
        <f>ROUND($L$130*$K$130,2)</f>
        <v>0</v>
      </c>
      <c r="BL130" s="6" t="s">
        <v>168</v>
      </c>
    </row>
    <row r="131" spans="2:64" s="6" customFormat="1" ht="39" customHeight="1">
      <c r="B131" s="21"/>
      <c r="C131" s="123" t="s">
        <v>141</v>
      </c>
      <c r="D131" s="123" t="s">
        <v>164</v>
      </c>
      <c r="E131" s="124" t="s">
        <v>169</v>
      </c>
      <c r="F131" s="205" t="s">
        <v>170</v>
      </c>
      <c r="G131" s="206"/>
      <c r="H131" s="206"/>
      <c r="I131" s="206"/>
      <c r="J131" s="125" t="s">
        <v>171</v>
      </c>
      <c r="K131" s="126">
        <v>49.173</v>
      </c>
      <c r="L131" s="207">
        <v>0</v>
      </c>
      <c r="M131" s="206"/>
      <c r="N131" s="208">
        <f>ROUND($L$131*$K$131,2)</f>
        <v>0</v>
      </c>
      <c r="O131" s="206"/>
      <c r="P131" s="206"/>
      <c r="Q131" s="206"/>
      <c r="R131" s="22"/>
      <c r="T131" s="127"/>
      <c r="U131" s="28" t="s">
        <v>42</v>
      </c>
      <c r="V131" s="128">
        <v>0.525</v>
      </c>
      <c r="W131" s="128">
        <f>$V$131*$K$131</f>
        <v>25.815825000000004</v>
      </c>
      <c r="X131" s="128">
        <v>0.06982</v>
      </c>
      <c r="Y131" s="128">
        <f>$X$131*$K$131</f>
        <v>3.4332588599999996</v>
      </c>
      <c r="Z131" s="128">
        <v>0</v>
      </c>
      <c r="AA131" s="129">
        <f>$Z$131*$K$131</f>
        <v>0</v>
      </c>
      <c r="AR131" s="6" t="s">
        <v>168</v>
      </c>
      <c r="AT131" s="6" t="s">
        <v>164</v>
      </c>
      <c r="AU131" s="6" t="s">
        <v>141</v>
      </c>
      <c r="AY131" s="6" t="s">
        <v>163</v>
      </c>
      <c r="BE131" s="82">
        <f>IF($U$131="základní",$N$131,0)</f>
        <v>0</v>
      </c>
      <c r="BF131" s="82">
        <f>IF($U$131="snížená",$N$131,0)</f>
        <v>0</v>
      </c>
      <c r="BG131" s="82">
        <f>IF($U$131="zákl. přenesená",$N$131,0)</f>
        <v>0</v>
      </c>
      <c r="BH131" s="82">
        <f>IF($U$131="sníž. přenesená",$N$131,0)</f>
        <v>0</v>
      </c>
      <c r="BI131" s="82">
        <f>IF($U$131="nulová",$N$131,0)</f>
        <v>0</v>
      </c>
      <c r="BJ131" s="6" t="s">
        <v>141</v>
      </c>
      <c r="BK131" s="82">
        <f>ROUND($L$131*$K$131,2)</f>
        <v>0</v>
      </c>
      <c r="BL131" s="6" t="s">
        <v>168</v>
      </c>
    </row>
    <row r="132" spans="2:51" s="6" customFormat="1" ht="15.75" customHeight="1">
      <c r="B132" s="130"/>
      <c r="E132" s="131"/>
      <c r="F132" s="209" t="s">
        <v>415</v>
      </c>
      <c r="G132" s="210"/>
      <c r="H132" s="210"/>
      <c r="I132" s="210"/>
      <c r="K132" s="132">
        <v>49.173</v>
      </c>
      <c r="R132" s="133"/>
      <c r="T132" s="134"/>
      <c r="AA132" s="135"/>
      <c r="AT132" s="131" t="s">
        <v>173</v>
      </c>
      <c r="AU132" s="131" t="s">
        <v>141</v>
      </c>
      <c r="AV132" s="131" t="s">
        <v>141</v>
      </c>
      <c r="AW132" s="131" t="s">
        <v>125</v>
      </c>
      <c r="AX132" s="131" t="s">
        <v>17</v>
      </c>
      <c r="AY132" s="131" t="s">
        <v>163</v>
      </c>
    </row>
    <row r="133" spans="2:64" s="6" customFormat="1" ht="27" customHeight="1">
      <c r="B133" s="21"/>
      <c r="C133" s="123" t="s">
        <v>174</v>
      </c>
      <c r="D133" s="123" t="s">
        <v>164</v>
      </c>
      <c r="E133" s="124" t="s">
        <v>175</v>
      </c>
      <c r="F133" s="205" t="s">
        <v>176</v>
      </c>
      <c r="G133" s="206"/>
      <c r="H133" s="206"/>
      <c r="I133" s="206"/>
      <c r="J133" s="125" t="s">
        <v>177</v>
      </c>
      <c r="K133" s="126">
        <v>28</v>
      </c>
      <c r="L133" s="207">
        <v>0</v>
      </c>
      <c r="M133" s="206"/>
      <c r="N133" s="208">
        <f>ROUND($L$133*$K$133,2)</f>
        <v>0</v>
      </c>
      <c r="O133" s="206"/>
      <c r="P133" s="206"/>
      <c r="Q133" s="206"/>
      <c r="R133" s="22"/>
      <c r="T133" s="127"/>
      <c r="U133" s="28" t="s">
        <v>42</v>
      </c>
      <c r="V133" s="128">
        <v>0.12</v>
      </c>
      <c r="W133" s="128">
        <f>$V$133*$K$133</f>
        <v>3.36</v>
      </c>
      <c r="X133" s="128">
        <v>8E-05</v>
      </c>
      <c r="Y133" s="128">
        <f>$X$133*$K$133</f>
        <v>0.0022400000000000002</v>
      </c>
      <c r="Z133" s="128">
        <v>0</v>
      </c>
      <c r="AA133" s="129">
        <f>$Z$133*$K$133</f>
        <v>0</v>
      </c>
      <c r="AR133" s="6" t="s">
        <v>168</v>
      </c>
      <c r="AT133" s="6" t="s">
        <v>164</v>
      </c>
      <c r="AU133" s="6" t="s">
        <v>141</v>
      </c>
      <c r="AY133" s="6" t="s">
        <v>163</v>
      </c>
      <c r="BE133" s="82">
        <f>IF($U$133="základní",$N$133,0)</f>
        <v>0</v>
      </c>
      <c r="BF133" s="82">
        <f>IF($U$133="snížená",$N$133,0)</f>
        <v>0</v>
      </c>
      <c r="BG133" s="82">
        <f>IF($U$133="zákl. přenesená",$N$133,0)</f>
        <v>0</v>
      </c>
      <c r="BH133" s="82">
        <f>IF($U$133="sníž. přenesená",$N$133,0)</f>
        <v>0</v>
      </c>
      <c r="BI133" s="82">
        <f>IF($U$133="nulová",$N$133,0)</f>
        <v>0</v>
      </c>
      <c r="BJ133" s="6" t="s">
        <v>141</v>
      </c>
      <c r="BK133" s="82">
        <f>ROUND($L$133*$K$133,2)</f>
        <v>0</v>
      </c>
      <c r="BL133" s="6" t="s">
        <v>168</v>
      </c>
    </row>
    <row r="134" spans="2:51" s="6" customFormat="1" ht="15.75" customHeight="1">
      <c r="B134" s="130"/>
      <c r="E134" s="131"/>
      <c r="F134" s="209" t="s">
        <v>403</v>
      </c>
      <c r="G134" s="210"/>
      <c r="H134" s="210"/>
      <c r="I134" s="210"/>
      <c r="K134" s="132">
        <v>28</v>
      </c>
      <c r="R134" s="133"/>
      <c r="T134" s="134"/>
      <c r="AA134" s="135"/>
      <c r="AT134" s="131" t="s">
        <v>173</v>
      </c>
      <c r="AU134" s="131" t="s">
        <v>141</v>
      </c>
      <c r="AV134" s="131" t="s">
        <v>141</v>
      </c>
      <c r="AW134" s="131" t="s">
        <v>125</v>
      </c>
      <c r="AX134" s="131" t="s">
        <v>17</v>
      </c>
      <c r="AY134" s="131" t="s">
        <v>163</v>
      </c>
    </row>
    <row r="135" spans="2:63" s="113" customFormat="1" ht="30.75" customHeight="1">
      <c r="B135" s="114"/>
      <c r="D135" s="122" t="s">
        <v>128</v>
      </c>
      <c r="N135" s="223">
        <f>$BK$135</f>
        <v>0</v>
      </c>
      <c r="O135" s="222"/>
      <c r="P135" s="222"/>
      <c r="Q135" s="222"/>
      <c r="R135" s="117"/>
      <c r="T135" s="118"/>
      <c r="W135" s="119">
        <f>SUM($W$136:$W$141)</f>
        <v>58.788560000000004</v>
      </c>
      <c r="Y135" s="119">
        <f>SUM($Y$136:$Y$141)</f>
        <v>2.08428038</v>
      </c>
      <c r="AA135" s="120">
        <f>SUM($AA$136:$AA$141)</f>
        <v>0</v>
      </c>
      <c r="AR135" s="116" t="s">
        <v>17</v>
      </c>
      <c r="AT135" s="116" t="s">
        <v>74</v>
      </c>
      <c r="AU135" s="116" t="s">
        <v>17</v>
      </c>
      <c r="AY135" s="116" t="s">
        <v>163</v>
      </c>
      <c r="BK135" s="121">
        <f>SUM($BK$136:$BK$141)</f>
        <v>0</v>
      </c>
    </row>
    <row r="136" spans="2:64" s="6" customFormat="1" ht="27" customHeight="1">
      <c r="B136" s="21"/>
      <c r="C136" s="123" t="s">
        <v>168</v>
      </c>
      <c r="D136" s="123" t="s">
        <v>164</v>
      </c>
      <c r="E136" s="124" t="s">
        <v>179</v>
      </c>
      <c r="F136" s="205" t="s">
        <v>180</v>
      </c>
      <c r="G136" s="206"/>
      <c r="H136" s="206"/>
      <c r="I136" s="206"/>
      <c r="J136" s="125" t="s">
        <v>171</v>
      </c>
      <c r="K136" s="126">
        <v>97.086</v>
      </c>
      <c r="L136" s="207">
        <v>0</v>
      </c>
      <c r="M136" s="206"/>
      <c r="N136" s="208">
        <f>ROUND($L$136*$K$136,2)</f>
        <v>0</v>
      </c>
      <c r="O136" s="206"/>
      <c r="P136" s="206"/>
      <c r="Q136" s="206"/>
      <c r="R136" s="22"/>
      <c r="T136" s="127"/>
      <c r="U136" s="28" t="s">
        <v>42</v>
      </c>
      <c r="V136" s="128">
        <v>0.46</v>
      </c>
      <c r="W136" s="128">
        <f>$V$136*$K$136</f>
        <v>44.65956</v>
      </c>
      <c r="X136" s="128">
        <v>0.01733</v>
      </c>
      <c r="Y136" s="128">
        <f>$X$136*$K$136</f>
        <v>1.6825003800000002</v>
      </c>
      <c r="Z136" s="128">
        <v>0</v>
      </c>
      <c r="AA136" s="129">
        <f>$Z$136*$K$136</f>
        <v>0</v>
      </c>
      <c r="AR136" s="6" t="s">
        <v>168</v>
      </c>
      <c r="AT136" s="6" t="s">
        <v>164</v>
      </c>
      <c r="AU136" s="6" t="s">
        <v>141</v>
      </c>
      <c r="AY136" s="6" t="s">
        <v>163</v>
      </c>
      <c r="BE136" s="82">
        <f>IF($U$136="základní",$N$136,0)</f>
        <v>0</v>
      </c>
      <c r="BF136" s="82">
        <f>IF($U$136="snížená",$N$136,0)</f>
        <v>0</v>
      </c>
      <c r="BG136" s="82">
        <f>IF($U$136="zákl. přenesená",$N$136,0)</f>
        <v>0</v>
      </c>
      <c r="BH136" s="82">
        <f>IF($U$136="sníž. přenesená",$N$136,0)</f>
        <v>0</v>
      </c>
      <c r="BI136" s="82">
        <f>IF($U$136="nulová",$N$136,0)</f>
        <v>0</v>
      </c>
      <c r="BJ136" s="6" t="s">
        <v>141</v>
      </c>
      <c r="BK136" s="82">
        <f>ROUND($L$136*$K$136,2)</f>
        <v>0</v>
      </c>
      <c r="BL136" s="6" t="s">
        <v>168</v>
      </c>
    </row>
    <row r="137" spans="2:51" s="6" customFormat="1" ht="27" customHeight="1">
      <c r="B137" s="130"/>
      <c r="E137" s="131"/>
      <c r="F137" s="209" t="s">
        <v>416</v>
      </c>
      <c r="G137" s="210"/>
      <c r="H137" s="210"/>
      <c r="I137" s="210"/>
      <c r="K137" s="132">
        <v>97.086</v>
      </c>
      <c r="R137" s="133"/>
      <c r="T137" s="134"/>
      <c r="AA137" s="135"/>
      <c r="AT137" s="131" t="s">
        <v>173</v>
      </c>
      <c r="AU137" s="131" t="s">
        <v>141</v>
      </c>
      <c r="AV137" s="131" t="s">
        <v>141</v>
      </c>
      <c r="AW137" s="131" t="s">
        <v>125</v>
      </c>
      <c r="AX137" s="131" t="s">
        <v>17</v>
      </c>
      <c r="AY137" s="131" t="s">
        <v>163</v>
      </c>
    </row>
    <row r="138" spans="2:64" s="6" customFormat="1" ht="15.75" customHeight="1">
      <c r="B138" s="21"/>
      <c r="C138" s="123" t="s">
        <v>182</v>
      </c>
      <c r="D138" s="123" t="s">
        <v>164</v>
      </c>
      <c r="E138" s="124" t="s">
        <v>187</v>
      </c>
      <c r="F138" s="205" t="s">
        <v>188</v>
      </c>
      <c r="G138" s="206"/>
      <c r="H138" s="206"/>
      <c r="I138" s="206"/>
      <c r="J138" s="125" t="s">
        <v>167</v>
      </c>
      <c r="K138" s="126">
        <v>7</v>
      </c>
      <c r="L138" s="207">
        <v>0</v>
      </c>
      <c r="M138" s="206"/>
      <c r="N138" s="208">
        <f>ROUND($L$138*$K$138,2)</f>
        <v>0</v>
      </c>
      <c r="O138" s="206"/>
      <c r="P138" s="206"/>
      <c r="Q138" s="206"/>
      <c r="R138" s="22"/>
      <c r="T138" s="127"/>
      <c r="U138" s="28" t="s">
        <v>42</v>
      </c>
      <c r="V138" s="128">
        <v>1.607</v>
      </c>
      <c r="W138" s="128">
        <f>$V$138*$K$138</f>
        <v>11.249</v>
      </c>
      <c r="X138" s="128">
        <v>0.04634</v>
      </c>
      <c r="Y138" s="128">
        <f>$X$138*$K$138</f>
        <v>0.32438</v>
      </c>
      <c r="Z138" s="128">
        <v>0</v>
      </c>
      <c r="AA138" s="129">
        <f>$Z$138*$K$138</f>
        <v>0</v>
      </c>
      <c r="AR138" s="6" t="s">
        <v>168</v>
      </c>
      <c r="AT138" s="6" t="s">
        <v>164</v>
      </c>
      <c r="AU138" s="6" t="s">
        <v>141</v>
      </c>
      <c r="AY138" s="6" t="s">
        <v>163</v>
      </c>
      <c r="BE138" s="82">
        <f>IF($U$138="základní",$N$138,0)</f>
        <v>0</v>
      </c>
      <c r="BF138" s="82">
        <f>IF($U$138="snížená",$N$138,0)</f>
        <v>0</v>
      </c>
      <c r="BG138" s="82">
        <f>IF($U$138="zákl. přenesená",$N$138,0)</f>
        <v>0</v>
      </c>
      <c r="BH138" s="82">
        <f>IF($U$138="sníž. přenesená",$N$138,0)</f>
        <v>0</v>
      </c>
      <c r="BI138" s="82">
        <f>IF($U$138="nulová",$N$138,0)</f>
        <v>0</v>
      </c>
      <c r="BJ138" s="6" t="s">
        <v>141</v>
      </c>
      <c r="BK138" s="82">
        <f>ROUND($L$138*$K$138,2)</f>
        <v>0</v>
      </c>
      <c r="BL138" s="6" t="s">
        <v>168</v>
      </c>
    </row>
    <row r="139" spans="2:64" s="6" customFormat="1" ht="15.75" customHeight="1">
      <c r="B139" s="21"/>
      <c r="C139" s="136" t="s">
        <v>186</v>
      </c>
      <c r="D139" s="136" t="s">
        <v>190</v>
      </c>
      <c r="E139" s="137" t="s">
        <v>191</v>
      </c>
      <c r="F139" s="211" t="s">
        <v>192</v>
      </c>
      <c r="G139" s="212"/>
      <c r="H139" s="212"/>
      <c r="I139" s="212"/>
      <c r="J139" s="138" t="s">
        <v>167</v>
      </c>
      <c r="K139" s="139">
        <v>6</v>
      </c>
      <c r="L139" s="213">
        <v>0</v>
      </c>
      <c r="M139" s="212"/>
      <c r="N139" s="214">
        <f>ROUND($L$139*$K$139,2)</f>
        <v>0</v>
      </c>
      <c r="O139" s="206"/>
      <c r="P139" s="206"/>
      <c r="Q139" s="206"/>
      <c r="R139" s="22"/>
      <c r="T139" s="127"/>
      <c r="U139" s="28" t="s">
        <v>42</v>
      </c>
      <c r="V139" s="128">
        <v>0</v>
      </c>
      <c r="W139" s="128">
        <f>$V$139*$K$139</f>
        <v>0</v>
      </c>
      <c r="X139" s="128">
        <v>0.011</v>
      </c>
      <c r="Y139" s="128">
        <f>$X$139*$K$139</f>
        <v>0.066</v>
      </c>
      <c r="Z139" s="128">
        <v>0</v>
      </c>
      <c r="AA139" s="129">
        <f>$Z$139*$K$139</f>
        <v>0</v>
      </c>
      <c r="AR139" s="6" t="s">
        <v>193</v>
      </c>
      <c r="AT139" s="6" t="s">
        <v>190</v>
      </c>
      <c r="AU139" s="6" t="s">
        <v>141</v>
      </c>
      <c r="AY139" s="6" t="s">
        <v>163</v>
      </c>
      <c r="BE139" s="82">
        <f>IF($U$139="základní",$N$139,0)</f>
        <v>0</v>
      </c>
      <c r="BF139" s="82">
        <f>IF($U$139="snížená",$N$139,0)</f>
        <v>0</v>
      </c>
      <c r="BG139" s="82">
        <f>IF($U$139="zákl. přenesená",$N$139,0)</f>
        <v>0</v>
      </c>
      <c r="BH139" s="82">
        <f>IF($U$139="sníž. přenesená",$N$139,0)</f>
        <v>0</v>
      </c>
      <c r="BI139" s="82">
        <f>IF($U$139="nulová",$N$139,0)</f>
        <v>0</v>
      </c>
      <c r="BJ139" s="6" t="s">
        <v>141</v>
      </c>
      <c r="BK139" s="82">
        <f>ROUND($L$139*$K$139,2)</f>
        <v>0</v>
      </c>
      <c r="BL139" s="6" t="s">
        <v>168</v>
      </c>
    </row>
    <row r="140" spans="2:64" s="6" customFormat="1" ht="15.75" customHeight="1">
      <c r="B140" s="21"/>
      <c r="C140" s="136" t="s">
        <v>189</v>
      </c>
      <c r="D140" s="136" t="s">
        <v>190</v>
      </c>
      <c r="E140" s="137" t="s">
        <v>194</v>
      </c>
      <c r="F140" s="211" t="s">
        <v>195</v>
      </c>
      <c r="G140" s="212"/>
      <c r="H140" s="212"/>
      <c r="I140" s="212"/>
      <c r="J140" s="138" t="s">
        <v>167</v>
      </c>
      <c r="K140" s="139">
        <v>1</v>
      </c>
      <c r="L140" s="213">
        <v>0</v>
      </c>
      <c r="M140" s="212"/>
      <c r="N140" s="214">
        <f>ROUND($L$140*$K$140,2)</f>
        <v>0</v>
      </c>
      <c r="O140" s="206"/>
      <c r="P140" s="206"/>
      <c r="Q140" s="206"/>
      <c r="R140" s="22"/>
      <c r="T140" s="127"/>
      <c r="U140" s="28" t="s">
        <v>42</v>
      </c>
      <c r="V140" s="128">
        <v>0</v>
      </c>
      <c r="W140" s="128">
        <f>$V$140*$K$140</f>
        <v>0</v>
      </c>
      <c r="X140" s="128">
        <v>0.0114</v>
      </c>
      <c r="Y140" s="128">
        <f>$X$140*$K$140</f>
        <v>0.0114</v>
      </c>
      <c r="Z140" s="128">
        <v>0</v>
      </c>
      <c r="AA140" s="129">
        <f>$Z$140*$K$140</f>
        <v>0</v>
      </c>
      <c r="AR140" s="6" t="s">
        <v>193</v>
      </c>
      <c r="AT140" s="6" t="s">
        <v>190</v>
      </c>
      <c r="AU140" s="6" t="s">
        <v>141</v>
      </c>
      <c r="AY140" s="6" t="s">
        <v>163</v>
      </c>
      <c r="BE140" s="82">
        <f>IF($U$140="základní",$N$140,0)</f>
        <v>0</v>
      </c>
      <c r="BF140" s="82">
        <f>IF($U$140="snížená",$N$140,0)</f>
        <v>0</v>
      </c>
      <c r="BG140" s="82">
        <f>IF($U$140="zákl. přenesená",$N$140,0)</f>
        <v>0</v>
      </c>
      <c r="BH140" s="82">
        <f>IF($U$140="sníž. přenesená",$N$140,0)</f>
        <v>0</v>
      </c>
      <c r="BI140" s="82">
        <f>IF($U$140="nulová",$N$140,0)</f>
        <v>0</v>
      </c>
      <c r="BJ140" s="6" t="s">
        <v>141</v>
      </c>
      <c r="BK140" s="82">
        <f>ROUND($L$140*$K$140,2)</f>
        <v>0</v>
      </c>
      <c r="BL140" s="6" t="s">
        <v>168</v>
      </c>
    </row>
    <row r="141" spans="2:64" s="6" customFormat="1" ht="27" customHeight="1">
      <c r="B141" s="21"/>
      <c r="C141" s="123" t="s">
        <v>193</v>
      </c>
      <c r="D141" s="123" t="s">
        <v>164</v>
      </c>
      <c r="E141" s="124" t="s">
        <v>197</v>
      </c>
      <c r="F141" s="205" t="s">
        <v>348</v>
      </c>
      <c r="G141" s="206"/>
      <c r="H141" s="206"/>
      <c r="I141" s="206"/>
      <c r="J141" s="125" t="s">
        <v>167</v>
      </c>
      <c r="K141" s="126">
        <v>18</v>
      </c>
      <c r="L141" s="207">
        <v>0</v>
      </c>
      <c r="M141" s="206"/>
      <c r="N141" s="208">
        <f>ROUND($L$141*$K$141,2)</f>
        <v>0</v>
      </c>
      <c r="O141" s="206"/>
      <c r="P141" s="206"/>
      <c r="Q141" s="206"/>
      <c r="R141" s="22"/>
      <c r="T141" s="127"/>
      <c r="U141" s="28" t="s">
        <v>42</v>
      </c>
      <c r="V141" s="128">
        <v>0.16</v>
      </c>
      <c r="W141" s="128">
        <f>$V$141*$K$141</f>
        <v>2.88</v>
      </c>
      <c r="X141" s="128">
        <v>0</v>
      </c>
      <c r="Y141" s="128">
        <f>$X$141*$K$141</f>
        <v>0</v>
      </c>
      <c r="Z141" s="128">
        <v>0</v>
      </c>
      <c r="AA141" s="129">
        <f>$Z$141*$K$141</f>
        <v>0</v>
      </c>
      <c r="AR141" s="6" t="s">
        <v>168</v>
      </c>
      <c r="AT141" s="6" t="s">
        <v>164</v>
      </c>
      <c r="AU141" s="6" t="s">
        <v>141</v>
      </c>
      <c r="AY141" s="6" t="s">
        <v>163</v>
      </c>
      <c r="BE141" s="82">
        <f>IF($U$141="základní",$N$141,0)</f>
        <v>0</v>
      </c>
      <c r="BF141" s="82">
        <f>IF($U$141="snížená",$N$141,0)</f>
        <v>0</v>
      </c>
      <c r="BG141" s="82">
        <f>IF($U$141="zákl. přenesená",$N$141,0)</f>
        <v>0</v>
      </c>
      <c r="BH141" s="82">
        <f>IF($U$141="sníž. přenesená",$N$141,0)</f>
        <v>0</v>
      </c>
      <c r="BI141" s="82">
        <f>IF($U$141="nulová",$N$141,0)</f>
        <v>0</v>
      </c>
      <c r="BJ141" s="6" t="s">
        <v>141</v>
      </c>
      <c r="BK141" s="82">
        <f>ROUND($L$141*$K$141,2)</f>
        <v>0</v>
      </c>
      <c r="BL141" s="6" t="s">
        <v>168</v>
      </c>
    </row>
    <row r="142" spans="2:63" s="113" customFormat="1" ht="30.75" customHeight="1">
      <c r="B142" s="114"/>
      <c r="D142" s="122" t="s">
        <v>129</v>
      </c>
      <c r="N142" s="223">
        <f>$BK$142</f>
        <v>0</v>
      </c>
      <c r="O142" s="222"/>
      <c r="P142" s="222"/>
      <c r="Q142" s="222"/>
      <c r="R142" s="117"/>
      <c r="T142" s="118"/>
      <c r="W142" s="119">
        <f>SUM($W$143:$W$147)</f>
        <v>28.000588</v>
      </c>
      <c r="Y142" s="119">
        <f>SUM($Y$143:$Y$147)</f>
        <v>0.0036364400000000003</v>
      </c>
      <c r="AA142" s="120">
        <f>SUM($AA$143:$AA$147)</f>
        <v>0</v>
      </c>
      <c r="AR142" s="116" t="s">
        <v>17</v>
      </c>
      <c r="AT142" s="116" t="s">
        <v>74</v>
      </c>
      <c r="AU142" s="116" t="s">
        <v>17</v>
      </c>
      <c r="AY142" s="116" t="s">
        <v>163</v>
      </c>
      <c r="BK142" s="121">
        <f>SUM($BK$143:$BK$147)</f>
        <v>0</v>
      </c>
    </row>
    <row r="143" spans="2:64" s="6" customFormat="1" ht="27" customHeight="1">
      <c r="B143" s="21"/>
      <c r="C143" s="123" t="s">
        <v>196</v>
      </c>
      <c r="D143" s="123" t="s">
        <v>164</v>
      </c>
      <c r="E143" s="124" t="s">
        <v>199</v>
      </c>
      <c r="F143" s="205" t="s">
        <v>200</v>
      </c>
      <c r="G143" s="206"/>
      <c r="H143" s="206"/>
      <c r="I143" s="206"/>
      <c r="J143" s="125" t="s">
        <v>171</v>
      </c>
      <c r="K143" s="126">
        <v>90.911</v>
      </c>
      <c r="L143" s="207">
        <v>0</v>
      </c>
      <c r="M143" s="206"/>
      <c r="N143" s="208">
        <f>ROUND($L$143*$K$143,2)</f>
        <v>0</v>
      </c>
      <c r="O143" s="206"/>
      <c r="P143" s="206"/>
      <c r="Q143" s="206"/>
      <c r="R143" s="22"/>
      <c r="T143" s="127"/>
      <c r="U143" s="28" t="s">
        <v>42</v>
      </c>
      <c r="V143" s="128">
        <v>0.308</v>
      </c>
      <c r="W143" s="128">
        <f>$V$143*$K$143</f>
        <v>28.000588</v>
      </c>
      <c r="X143" s="128">
        <v>4E-05</v>
      </c>
      <c r="Y143" s="128">
        <f>$X$143*$K$143</f>
        <v>0.0036364400000000003</v>
      </c>
      <c r="Z143" s="128">
        <v>0</v>
      </c>
      <c r="AA143" s="129">
        <f>$Z$143*$K$143</f>
        <v>0</v>
      </c>
      <c r="AR143" s="6" t="s">
        <v>168</v>
      </c>
      <c r="AT143" s="6" t="s">
        <v>164</v>
      </c>
      <c r="AU143" s="6" t="s">
        <v>141</v>
      </c>
      <c r="AY143" s="6" t="s">
        <v>163</v>
      </c>
      <c r="BE143" s="82">
        <f>IF($U$143="základní",$N$143,0)</f>
        <v>0</v>
      </c>
      <c r="BF143" s="82">
        <f>IF($U$143="snížená",$N$143,0)</f>
        <v>0</v>
      </c>
      <c r="BG143" s="82">
        <f>IF($U$143="zákl. přenesená",$N$143,0)</f>
        <v>0</v>
      </c>
      <c r="BH143" s="82">
        <f>IF($U$143="sníž. přenesená",$N$143,0)</f>
        <v>0</v>
      </c>
      <c r="BI143" s="82">
        <f>IF($U$143="nulová",$N$143,0)</f>
        <v>0</v>
      </c>
      <c r="BJ143" s="6" t="s">
        <v>141</v>
      </c>
      <c r="BK143" s="82">
        <f>ROUND($L$143*$K$143,2)</f>
        <v>0</v>
      </c>
      <c r="BL143" s="6" t="s">
        <v>168</v>
      </c>
    </row>
    <row r="144" spans="2:51" s="6" customFormat="1" ht="27" customHeight="1">
      <c r="B144" s="130"/>
      <c r="E144" s="131"/>
      <c r="F144" s="209" t="s">
        <v>417</v>
      </c>
      <c r="G144" s="210"/>
      <c r="H144" s="210"/>
      <c r="I144" s="210"/>
      <c r="K144" s="132">
        <v>42.05</v>
      </c>
      <c r="R144" s="133"/>
      <c r="T144" s="134"/>
      <c r="AA144" s="135"/>
      <c r="AT144" s="131" t="s">
        <v>173</v>
      </c>
      <c r="AU144" s="131" t="s">
        <v>141</v>
      </c>
      <c r="AV144" s="131" t="s">
        <v>141</v>
      </c>
      <c r="AW144" s="131" t="s">
        <v>125</v>
      </c>
      <c r="AX144" s="131" t="s">
        <v>75</v>
      </c>
      <c r="AY144" s="131" t="s">
        <v>163</v>
      </c>
    </row>
    <row r="145" spans="2:51" s="6" customFormat="1" ht="15.75" customHeight="1">
      <c r="B145" s="130"/>
      <c r="E145" s="131"/>
      <c r="F145" s="209" t="s">
        <v>418</v>
      </c>
      <c r="G145" s="210"/>
      <c r="H145" s="210"/>
      <c r="I145" s="210"/>
      <c r="K145" s="132">
        <v>39.955</v>
      </c>
      <c r="R145" s="133"/>
      <c r="T145" s="134"/>
      <c r="AA145" s="135"/>
      <c r="AT145" s="131" t="s">
        <v>173</v>
      </c>
      <c r="AU145" s="131" t="s">
        <v>141</v>
      </c>
      <c r="AV145" s="131" t="s">
        <v>141</v>
      </c>
      <c r="AW145" s="131" t="s">
        <v>125</v>
      </c>
      <c r="AX145" s="131" t="s">
        <v>75</v>
      </c>
      <c r="AY145" s="131" t="s">
        <v>163</v>
      </c>
    </row>
    <row r="146" spans="2:51" s="6" customFormat="1" ht="15.75" customHeight="1">
      <c r="B146" s="130"/>
      <c r="E146" s="131"/>
      <c r="F146" s="209" t="s">
        <v>419</v>
      </c>
      <c r="G146" s="210"/>
      <c r="H146" s="210"/>
      <c r="I146" s="210"/>
      <c r="K146" s="132">
        <v>8.906</v>
      </c>
      <c r="R146" s="133"/>
      <c r="T146" s="134"/>
      <c r="AA146" s="135"/>
      <c r="AT146" s="131" t="s">
        <v>173</v>
      </c>
      <c r="AU146" s="131" t="s">
        <v>141</v>
      </c>
      <c r="AV146" s="131" t="s">
        <v>141</v>
      </c>
      <c r="AW146" s="131" t="s">
        <v>125</v>
      </c>
      <c r="AX146" s="131" t="s">
        <v>75</v>
      </c>
      <c r="AY146" s="131" t="s">
        <v>163</v>
      </c>
    </row>
    <row r="147" spans="2:51" s="6" customFormat="1" ht="15.75" customHeight="1">
      <c r="B147" s="141"/>
      <c r="E147" s="142"/>
      <c r="F147" s="215" t="s">
        <v>286</v>
      </c>
      <c r="G147" s="216"/>
      <c r="H147" s="216"/>
      <c r="I147" s="216"/>
      <c r="K147" s="143">
        <v>90.911</v>
      </c>
      <c r="R147" s="144"/>
      <c r="T147" s="145"/>
      <c r="AA147" s="146"/>
      <c r="AT147" s="142" t="s">
        <v>173</v>
      </c>
      <c r="AU147" s="142" t="s">
        <v>141</v>
      </c>
      <c r="AV147" s="142" t="s">
        <v>168</v>
      </c>
      <c r="AW147" s="142" t="s">
        <v>125</v>
      </c>
      <c r="AX147" s="142" t="s">
        <v>17</v>
      </c>
      <c r="AY147" s="142" t="s">
        <v>163</v>
      </c>
    </row>
    <row r="148" spans="2:63" s="113" customFormat="1" ht="30.75" customHeight="1">
      <c r="B148" s="114"/>
      <c r="D148" s="122" t="s">
        <v>384</v>
      </c>
      <c r="N148" s="223">
        <f>$BK$148</f>
        <v>0</v>
      </c>
      <c r="O148" s="222"/>
      <c r="P148" s="222"/>
      <c r="Q148" s="222"/>
      <c r="R148" s="117"/>
      <c r="T148" s="118"/>
      <c r="W148" s="119">
        <f>SUM($W$149:$W$154)</f>
        <v>1.98522</v>
      </c>
      <c r="Y148" s="119">
        <f>SUM($Y$149:$Y$154)</f>
        <v>0</v>
      </c>
      <c r="AA148" s="120">
        <f>SUM($AA$149:$AA$154)</f>
        <v>0</v>
      </c>
      <c r="AR148" s="116" t="s">
        <v>17</v>
      </c>
      <c r="AT148" s="116" t="s">
        <v>74</v>
      </c>
      <c r="AU148" s="116" t="s">
        <v>17</v>
      </c>
      <c r="AY148" s="116" t="s">
        <v>163</v>
      </c>
      <c r="BK148" s="121">
        <f>SUM($BK$149:$BK$154)</f>
        <v>0</v>
      </c>
    </row>
    <row r="149" spans="2:64" s="6" customFormat="1" ht="15.75" customHeight="1">
      <c r="B149" s="21"/>
      <c r="C149" s="123" t="s">
        <v>22</v>
      </c>
      <c r="D149" s="123" t="s">
        <v>164</v>
      </c>
      <c r="E149" s="124" t="s">
        <v>214</v>
      </c>
      <c r="F149" s="205" t="s">
        <v>215</v>
      </c>
      <c r="G149" s="206"/>
      <c r="H149" s="206"/>
      <c r="I149" s="206"/>
      <c r="J149" s="125" t="s">
        <v>216</v>
      </c>
      <c r="K149" s="126">
        <v>0.504</v>
      </c>
      <c r="L149" s="207">
        <v>0</v>
      </c>
      <c r="M149" s="206"/>
      <c r="N149" s="208">
        <f>ROUND($L$149*$K$149,2)</f>
        <v>0</v>
      </c>
      <c r="O149" s="206"/>
      <c r="P149" s="206"/>
      <c r="Q149" s="206"/>
      <c r="R149" s="22"/>
      <c r="T149" s="127"/>
      <c r="U149" s="28" t="s">
        <v>42</v>
      </c>
      <c r="V149" s="128">
        <v>0.136</v>
      </c>
      <c r="W149" s="128">
        <f>$V$149*$K$149</f>
        <v>0.06854400000000001</v>
      </c>
      <c r="X149" s="128">
        <v>0</v>
      </c>
      <c r="Y149" s="128">
        <f>$X$149*$K$149</f>
        <v>0</v>
      </c>
      <c r="Z149" s="128">
        <v>0</v>
      </c>
      <c r="AA149" s="129">
        <f>$Z$149*$K$149</f>
        <v>0</v>
      </c>
      <c r="AR149" s="6" t="s">
        <v>168</v>
      </c>
      <c r="AT149" s="6" t="s">
        <v>164</v>
      </c>
      <c r="AU149" s="6" t="s">
        <v>141</v>
      </c>
      <c r="AY149" s="6" t="s">
        <v>163</v>
      </c>
      <c r="BE149" s="82">
        <f>IF($U$149="základní",$N$149,0)</f>
        <v>0</v>
      </c>
      <c r="BF149" s="82">
        <f>IF($U$149="snížená",$N$149,0)</f>
        <v>0</v>
      </c>
      <c r="BG149" s="82">
        <f>IF($U$149="zákl. přenesená",$N$149,0)</f>
        <v>0</v>
      </c>
      <c r="BH149" s="82">
        <f>IF($U$149="sníž. přenesená",$N$149,0)</f>
        <v>0</v>
      </c>
      <c r="BI149" s="82">
        <f>IF($U$149="nulová",$N$149,0)</f>
        <v>0</v>
      </c>
      <c r="BJ149" s="6" t="s">
        <v>141</v>
      </c>
      <c r="BK149" s="82">
        <f>ROUND($L$149*$K$149,2)</f>
        <v>0</v>
      </c>
      <c r="BL149" s="6" t="s">
        <v>168</v>
      </c>
    </row>
    <row r="150" spans="2:64" s="6" customFormat="1" ht="27" customHeight="1">
      <c r="B150" s="21"/>
      <c r="C150" s="123" t="s">
        <v>201</v>
      </c>
      <c r="D150" s="123" t="s">
        <v>164</v>
      </c>
      <c r="E150" s="124" t="s">
        <v>217</v>
      </c>
      <c r="F150" s="205" t="s">
        <v>218</v>
      </c>
      <c r="G150" s="206"/>
      <c r="H150" s="206"/>
      <c r="I150" s="206"/>
      <c r="J150" s="125" t="s">
        <v>216</v>
      </c>
      <c r="K150" s="126">
        <v>0.504</v>
      </c>
      <c r="L150" s="207">
        <v>0</v>
      </c>
      <c r="M150" s="206"/>
      <c r="N150" s="208">
        <f>ROUND($L$150*$K$150,2)</f>
        <v>0</v>
      </c>
      <c r="O150" s="206"/>
      <c r="P150" s="206"/>
      <c r="Q150" s="206"/>
      <c r="R150" s="22"/>
      <c r="T150" s="127"/>
      <c r="U150" s="28" t="s">
        <v>42</v>
      </c>
      <c r="V150" s="128">
        <v>0.125</v>
      </c>
      <c r="W150" s="128">
        <f>$V$150*$K$150</f>
        <v>0.063</v>
      </c>
      <c r="X150" s="128">
        <v>0</v>
      </c>
      <c r="Y150" s="128">
        <f>$X$150*$K$150</f>
        <v>0</v>
      </c>
      <c r="Z150" s="128">
        <v>0</v>
      </c>
      <c r="AA150" s="129">
        <f>$Z$150*$K$150</f>
        <v>0</v>
      </c>
      <c r="AR150" s="6" t="s">
        <v>168</v>
      </c>
      <c r="AT150" s="6" t="s">
        <v>164</v>
      </c>
      <c r="AU150" s="6" t="s">
        <v>141</v>
      </c>
      <c r="AY150" s="6" t="s">
        <v>163</v>
      </c>
      <c r="BE150" s="82">
        <f>IF($U$150="základní",$N$150,0)</f>
        <v>0</v>
      </c>
      <c r="BF150" s="82">
        <f>IF($U$150="snížená",$N$150,0)</f>
        <v>0</v>
      </c>
      <c r="BG150" s="82">
        <f>IF($U$150="zákl. přenesená",$N$150,0)</f>
        <v>0</v>
      </c>
      <c r="BH150" s="82">
        <f>IF($U$150="sníž. přenesená",$N$150,0)</f>
        <v>0</v>
      </c>
      <c r="BI150" s="82">
        <f>IF($U$150="nulová",$N$150,0)</f>
        <v>0</v>
      </c>
      <c r="BJ150" s="6" t="s">
        <v>141</v>
      </c>
      <c r="BK150" s="82">
        <f>ROUND($L$150*$K$150,2)</f>
        <v>0</v>
      </c>
      <c r="BL150" s="6" t="s">
        <v>168</v>
      </c>
    </row>
    <row r="151" spans="2:64" s="6" customFormat="1" ht="27" customHeight="1">
      <c r="B151" s="21"/>
      <c r="C151" s="123" t="s">
        <v>205</v>
      </c>
      <c r="D151" s="123" t="s">
        <v>164</v>
      </c>
      <c r="E151" s="124" t="s">
        <v>220</v>
      </c>
      <c r="F151" s="205" t="s">
        <v>221</v>
      </c>
      <c r="G151" s="206"/>
      <c r="H151" s="206"/>
      <c r="I151" s="206"/>
      <c r="J151" s="125" t="s">
        <v>216</v>
      </c>
      <c r="K151" s="126">
        <v>9.072</v>
      </c>
      <c r="L151" s="207">
        <v>0</v>
      </c>
      <c r="M151" s="206"/>
      <c r="N151" s="208">
        <f>ROUND($L$151*$K$151,2)</f>
        <v>0</v>
      </c>
      <c r="O151" s="206"/>
      <c r="P151" s="206"/>
      <c r="Q151" s="206"/>
      <c r="R151" s="22"/>
      <c r="T151" s="127"/>
      <c r="U151" s="28" t="s">
        <v>42</v>
      </c>
      <c r="V151" s="128">
        <v>0.006</v>
      </c>
      <c r="W151" s="128">
        <f>$V$151*$K$151</f>
        <v>0.054431999999999994</v>
      </c>
      <c r="X151" s="128">
        <v>0</v>
      </c>
      <c r="Y151" s="128">
        <f>$X$151*$K$151</f>
        <v>0</v>
      </c>
      <c r="Z151" s="128">
        <v>0</v>
      </c>
      <c r="AA151" s="129">
        <f>$Z$151*$K$151</f>
        <v>0</v>
      </c>
      <c r="AR151" s="6" t="s">
        <v>168</v>
      </c>
      <c r="AT151" s="6" t="s">
        <v>164</v>
      </c>
      <c r="AU151" s="6" t="s">
        <v>141</v>
      </c>
      <c r="AY151" s="6" t="s">
        <v>163</v>
      </c>
      <c r="BE151" s="82">
        <f>IF($U$151="základní",$N$151,0)</f>
        <v>0</v>
      </c>
      <c r="BF151" s="82">
        <f>IF($U$151="snížená",$N$151,0)</f>
        <v>0</v>
      </c>
      <c r="BG151" s="82">
        <f>IF($U$151="zákl. přenesená",$N$151,0)</f>
        <v>0</v>
      </c>
      <c r="BH151" s="82">
        <f>IF($U$151="sníž. přenesená",$N$151,0)</f>
        <v>0</v>
      </c>
      <c r="BI151" s="82">
        <f>IF($U$151="nulová",$N$151,0)</f>
        <v>0</v>
      </c>
      <c r="BJ151" s="6" t="s">
        <v>141</v>
      </c>
      <c r="BK151" s="82">
        <f>ROUND($L$151*$K$151,2)</f>
        <v>0</v>
      </c>
      <c r="BL151" s="6" t="s">
        <v>168</v>
      </c>
    </row>
    <row r="152" spans="2:51" s="6" customFormat="1" ht="15.75" customHeight="1">
      <c r="B152" s="130"/>
      <c r="E152" s="131"/>
      <c r="F152" s="209" t="s">
        <v>420</v>
      </c>
      <c r="G152" s="210"/>
      <c r="H152" s="210"/>
      <c r="I152" s="210"/>
      <c r="K152" s="132">
        <v>9.072</v>
      </c>
      <c r="R152" s="133"/>
      <c r="T152" s="134"/>
      <c r="AA152" s="135"/>
      <c r="AT152" s="131" t="s">
        <v>173</v>
      </c>
      <c r="AU152" s="131" t="s">
        <v>141</v>
      </c>
      <c r="AV152" s="131" t="s">
        <v>141</v>
      </c>
      <c r="AW152" s="131" t="s">
        <v>125</v>
      </c>
      <c r="AX152" s="131" t="s">
        <v>17</v>
      </c>
      <c r="AY152" s="131" t="s">
        <v>163</v>
      </c>
    </row>
    <row r="153" spans="2:64" s="6" customFormat="1" ht="27" customHeight="1">
      <c r="B153" s="21"/>
      <c r="C153" s="123" t="s">
        <v>209</v>
      </c>
      <c r="D153" s="123" t="s">
        <v>164</v>
      </c>
      <c r="E153" s="124" t="s">
        <v>224</v>
      </c>
      <c r="F153" s="205" t="s">
        <v>225</v>
      </c>
      <c r="G153" s="206"/>
      <c r="H153" s="206"/>
      <c r="I153" s="206"/>
      <c r="J153" s="125" t="s">
        <v>216</v>
      </c>
      <c r="K153" s="126">
        <v>0.504</v>
      </c>
      <c r="L153" s="207">
        <v>0</v>
      </c>
      <c r="M153" s="206"/>
      <c r="N153" s="208">
        <f>ROUND($L$153*$K$153,2)</f>
        <v>0</v>
      </c>
      <c r="O153" s="206"/>
      <c r="P153" s="206"/>
      <c r="Q153" s="206"/>
      <c r="R153" s="22"/>
      <c r="T153" s="127"/>
      <c r="U153" s="28" t="s">
        <v>42</v>
      </c>
      <c r="V153" s="128">
        <v>0</v>
      </c>
      <c r="W153" s="128">
        <f>$V$153*$K$153</f>
        <v>0</v>
      </c>
      <c r="X153" s="128">
        <v>0</v>
      </c>
      <c r="Y153" s="128">
        <f>$X$153*$K$153</f>
        <v>0</v>
      </c>
      <c r="Z153" s="128">
        <v>0</v>
      </c>
      <c r="AA153" s="129">
        <f>$Z$153*$K$153</f>
        <v>0</v>
      </c>
      <c r="AR153" s="6" t="s">
        <v>168</v>
      </c>
      <c r="AT153" s="6" t="s">
        <v>164</v>
      </c>
      <c r="AU153" s="6" t="s">
        <v>141</v>
      </c>
      <c r="AY153" s="6" t="s">
        <v>163</v>
      </c>
      <c r="BE153" s="82">
        <f>IF($U$153="základní",$N$153,0)</f>
        <v>0</v>
      </c>
      <c r="BF153" s="82">
        <f>IF($U$153="snížená",$N$153,0)</f>
        <v>0</v>
      </c>
      <c r="BG153" s="82">
        <f>IF($U$153="zákl. přenesená",$N$153,0)</f>
        <v>0</v>
      </c>
      <c r="BH153" s="82">
        <f>IF($U$153="sníž. přenesená",$N$153,0)</f>
        <v>0</v>
      </c>
      <c r="BI153" s="82">
        <f>IF($U$153="nulová",$N$153,0)</f>
        <v>0</v>
      </c>
      <c r="BJ153" s="6" t="s">
        <v>141</v>
      </c>
      <c r="BK153" s="82">
        <f>ROUND($L$153*$K$153,2)</f>
        <v>0</v>
      </c>
      <c r="BL153" s="6" t="s">
        <v>168</v>
      </c>
    </row>
    <row r="154" spans="2:64" s="6" customFormat="1" ht="15.75" customHeight="1">
      <c r="B154" s="21"/>
      <c r="C154" s="123" t="s">
        <v>213</v>
      </c>
      <c r="D154" s="123" t="s">
        <v>164</v>
      </c>
      <c r="E154" s="124" t="s">
        <v>227</v>
      </c>
      <c r="F154" s="205" t="s">
        <v>228</v>
      </c>
      <c r="G154" s="206"/>
      <c r="H154" s="206"/>
      <c r="I154" s="206"/>
      <c r="J154" s="125" t="s">
        <v>216</v>
      </c>
      <c r="K154" s="126">
        <v>5.658</v>
      </c>
      <c r="L154" s="207">
        <v>0</v>
      </c>
      <c r="M154" s="206"/>
      <c r="N154" s="208">
        <f>ROUND($L$154*$K$154,2)</f>
        <v>0</v>
      </c>
      <c r="O154" s="206"/>
      <c r="P154" s="206"/>
      <c r="Q154" s="206"/>
      <c r="R154" s="22"/>
      <c r="T154" s="127"/>
      <c r="U154" s="28" t="s">
        <v>42</v>
      </c>
      <c r="V154" s="128">
        <v>0.318</v>
      </c>
      <c r="W154" s="128">
        <f>$V$154*$K$154</f>
        <v>1.799244</v>
      </c>
      <c r="X154" s="128">
        <v>0</v>
      </c>
      <c r="Y154" s="128">
        <f>$X$154*$K$154</f>
        <v>0</v>
      </c>
      <c r="Z154" s="128">
        <v>0</v>
      </c>
      <c r="AA154" s="129">
        <f>$Z$154*$K$154</f>
        <v>0</v>
      </c>
      <c r="AR154" s="6" t="s">
        <v>168</v>
      </c>
      <c r="AT154" s="6" t="s">
        <v>164</v>
      </c>
      <c r="AU154" s="6" t="s">
        <v>141</v>
      </c>
      <c r="AY154" s="6" t="s">
        <v>163</v>
      </c>
      <c r="BE154" s="82">
        <f>IF($U$154="základní",$N$154,0)</f>
        <v>0</v>
      </c>
      <c r="BF154" s="82">
        <f>IF($U$154="snížená",$N$154,0)</f>
        <v>0</v>
      </c>
      <c r="BG154" s="82">
        <f>IF($U$154="zákl. přenesená",$N$154,0)</f>
        <v>0</v>
      </c>
      <c r="BH154" s="82">
        <f>IF($U$154="sníž. přenesená",$N$154,0)</f>
        <v>0</v>
      </c>
      <c r="BI154" s="82">
        <f>IF($U$154="nulová",$N$154,0)</f>
        <v>0</v>
      </c>
      <c r="BJ154" s="6" t="s">
        <v>141</v>
      </c>
      <c r="BK154" s="82">
        <f>ROUND($L$154*$K$154,2)</f>
        <v>0</v>
      </c>
      <c r="BL154" s="6" t="s">
        <v>168</v>
      </c>
    </row>
    <row r="155" spans="2:63" s="113" customFormat="1" ht="37.5" customHeight="1">
      <c r="B155" s="114"/>
      <c r="D155" s="115" t="s">
        <v>131</v>
      </c>
      <c r="N155" s="201">
        <f>$BK$155</f>
        <v>0</v>
      </c>
      <c r="O155" s="222"/>
      <c r="P155" s="222"/>
      <c r="Q155" s="222"/>
      <c r="R155" s="117"/>
      <c r="T155" s="118"/>
      <c r="W155" s="119">
        <f>$W$156+$W$161+$W$167+$W$176+$W$182</f>
        <v>110.00319100000002</v>
      </c>
      <c r="Y155" s="119">
        <f>$Y$156+$Y$161+$Y$167+$Y$176+$Y$182</f>
        <v>0.36588397</v>
      </c>
      <c r="AA155" s="120">
        <f>$AA$156+$AA$161+$AA$167+$AA$176+$AA$182</f>
        <v>0.5042824</v>
      </c>
      <c r="AR155" s="116" t="s">
        <v>141</v>
      </c>
      <c r="AT155" s="116" t="s">
        <v>74</v>
      </c>
      <c r="AU155" s="116" t="s">
        <v>75</v>
      </c>
      <c r="AY155" s="116" t="s">
        <v>163</v>
      </c>
      <c r="BK155" s="121">
        <f>$BK$156+$BK$161+$BK$167+$BK$176+$BK$182</f>
        <v>0</v>
      </c>
    </row>
    <row r="156" spans="2:63" s="113" customFormat="1" ht="21" customHeight="1">
      <c r="B156" s="114"/>
      <c r="D156" s="122" t="s">
        <v>132</v>
      </c>
      <c r="N156" s="223">
        <f>$BK$156</f>
        <v>0</v>
      </c>
      <c r="O156" s="222"/>
      <c r="P156" s="222"/>
      <c r="Q156" s="222"/>
      <c r="R156" s="117"/>
      <c r="T156" s="118"/>
      <c r="W156" s="119">
        <f>SUM($W$157:$W$160)</f>
        <v>0.495</v>
      </c>
      <c r="Y156" s="119">
        <f>SUM($Y$157:$Y$160)</f>
        <v>0</v>
      </c>
      <c r="AA156" s="120">
        <f>SUM($AA$157:$AA$160)</f>
        <v>0</v>
      </c>
      <c r="AR156" s="116" t="s">
        <v>141</v>
      </c>
      <c r="AT156" s="116" t="s">
        <v>74</v>
      </c>
      <c r="AU156" s="116" t="s">
        <v>17</v>
      </c>
      <c r="AY156" s="116" t="s">
        <v>163</v>
      </c>
      <c r="BK156" s="121">
        <f>SUM($BK$157:$BK$160)</f>
        <v>0</v>
      </c>
    </row>
    <row r="157" spans="2:64" s="6" customFormat="1" ht="27" customHeight="1">
      <c r="B157" s="21"/>
      <c r="C157" s="123" t="s">
        <v>263</v>
      </c>
      <c r="D157" s="123" t="s">
        <v>164</v>
      </c>
      <c r="E157" s="124" t="s">
        <v>230</v>
      </c>
      <c r="F157" s="205" t="s">
        <v>231</v>
      </c>
      <c r="G157" s="206"/>
      <c r="H157" s="206"/>
      <c r="I157" s="206"/>
      <c r="J157" s="125" t="s">
        <v>167</v>
      </c>
      <c r="K157" s="126">
        <v>1</v>
      </c>
      <c r="L157" s="207">
        <v>0</v>
      </c>
      <c r="M157" s="206"/>
      <c r="N157" s="208">
        <f>ROUND($L$157*$K$157,2)</f>
        <v>0</v>
      </c>
      <c r="O157" s="206"/>
      <c r="P157" s="206"/>
      <c r="Q157" s="206"/>
      <c r="R157" s="22"/>
      <c r="T157" s="127"/>
      <c r="U157" s="28" t="s">
        <v>42</v>
      </c>
      <c r="V157" s="128">
        <v>0.165</v>
      </c>
      <c r="W157" s="128">
        <f>$V$157*$K$157</f>
        <v>0.165</v>
      </c>
      <c r="X157" s="128">
        <v>0</v>
      </c>
      <c r="Y157" s="128">
        <f>$X$157*$K$157</f>
        <v>0</v>
      </c>
      <c r="Z157" s="128">
        <v>0</v>
      </c>
      <c r="AA157" s="129">
        <f>$Z$157*$K$157</f>
        <v>0</v>
      </c>
      <c r="AR157" s="6" t="s">
        <v>219</v>
      </c>
      <c r="AT157" s="6" t="s">
        <v>164</v>
      </c>
      <c r="AU157" s="6" t="s">
        <v>141</v>
      </c>
      <c r="AY157" s="6" t="s">
        <v>163</v>
      </c>
      <c r="BE157" s="82">
        <f>IF($U$157="základní",$N$157,0)</f>
        <v>0</v>
      </c>
      <c r="BF157" s="82">
        <f>IF($U$157="snížená",$N$157,0)</f>
        <v>0</v>
      </c>
      <c r="BG157" s="82">
        <f>IF($U$157="zákl. přenesená",$N$157,0)</f>
        <v>0</v>
      </c>
      <c r="BH157" s="82">
        <f>IF($U$157="sníž. přenesená",$N$157,0)</f>
        <v>0</v>
      </c>
      <c r="BI157" s="82">
        <f>IF($U$157="nulová",$N$157,0)</f>
        <v>0</v>
      </c>
      <c r="BJ157" s="6" t="s">
        <v>141</v>
      </c>
      <c r="BK157" s="82">
        <f>ROUND($L$157*$K$157,2)</f>
        <v>0</v>
      </c>
      <c r="BL157" s="6" t="s">
        <v>219</v>
      </c>
    </row>
    <row r="158" spans="2:64" s="6" customFormat="1" ht="15.75" customHeight="1">
      <c r="B158" s="21"/>
      <c r="C158" s="123" t="s">
        <v>272</v>
      </c>
      <c r="D158" s="123" t="s">
        <v>164</v>
      </c>
      <c r="E158" s="124" t="s">
        <v>233</v>
      </c>
      <c r="F158" s="205" t="s">
        <v>234</v>
      </c>
      <c r="G158" s="206"/>
      <c r="H158" s="206"/>
      <c r="I158" s="206"/>
      <c r="J158" s="125" t="s">
        <v>167</v>
      </c>
      <c r="K158" s="126">
        <v>1</v>
      </c>
      <c r="L158" s="207">
        <v>0</v>
      </c>
      <c r="M158" s="206"/>
      <c r="N158" s="208">
        <f>ROUND($L$158*$K$158,2)</f>
        <v>0</v>
      </c>
      <c r="O158" s="206"/>
      <c r="P158" s="206"/>
      <c r="Q158" s="206"/>
      <c r="R158" s="22"/>
      <c r="T158" s="127"/>
      <c r="U158" s="28" t="s">
        <v>42</v>
      </c>
      <c r="V158" s="128">
        <v>0.165</v>
      </c>
      <c r="W158" s="128">
        <f>$V$158*$K$158</f>
        <v>0.165</v>
      </c>
      <c r="X158" s="128">
        <v>0</v>
      </c>
      <c r="Y158" s="128">
        <f>$X$158*$K$158</f>
        <v>0</v>
      </c>
      <c r="Z158" s="128">
        <v>0</v>
      </c>
      <c r="AA158" s="129">
        <f>$Z$158*$K$158</f>
        <v>0</v>
      </c>
      <c r="AR158" s="6" t="s">
        <v>219</v>
      </c>
      <c r="AT158" s="6" t="s">
        <v>164</v>
      </c>
      <c r="AU158" s="6" t="s">
        <v>141</v>
      </c>
      <c r="AY158" s="6" t="s">
        <v>163</v>
      </c>
      <c r="BE158" s="82">
        <f>IF($U$158="základní",$N$158,0)</f>
        <v>0</v>
      </c>
      <c r="BF158" s="82">
        <f>IF($U$158="snížená",$N$158,0)</f>
        <v>0</v>
      </c>
      <c r="BG158" s="82">
        <f>IF($U$158="zákl. přenesená",$N$158,0)</f>
        <v>0</v>
      </c>
      <c r="BH158" s="82">
        <f>IF($U$158="sníž. přenesená",$N$158,0)</f>
        <v>0</v>
      </c>
      <c r="BI158" s="82">
        <f>IF($U$158="nulová",$N$158,0)</f>
        <v>0</v>
      </c>
      <c r="BJ158" s="6" t="s">
        <v>141</v>
      </c>
      <c r="BK158" s="82">
        <f>ROUND($L$158*$K$158,2)</f>
        <v>0</v>
      </c>
      <c r="BL158" s="6" t="s">
        <v>219</v>
      </c>
    </row>
    <row r="159" spans="2:64" s="6" customFormat="1" ht="15.75" customHeight="1">
      <c r="B159" s="21"/>
      <c r="C159" s="123" t="s">
        <v>275</v>
      </c>
      <c r="D159" s="123" t="s">
        <v>164</v>
      </c>
      <c r="E159" s="124" t="s">
        <v>235</v>
      </c>
      <c r="F159" s="205" t="s">
        <v>236</v>
      </c>
      <c r="G159" s="206"/>
      <c r="H159" s="206"/>
      <c r="I159" s="206"/>
      <c r="J159" s="125" t="s">
        <v>167</v>
      </c>
      <c r="K159" s="126">
        <v>1</v>
      </c>
      <c r="L159" s="207">
        <v>0</v>
      </c>
      <c r="M159" s="206"/>
      <c r="N159" s="208">
        <f>ROUND($L$159*$K$159,2)</f>
        <v>0</v>
      </c>
      <c r="O159" s="206"/>
      <c r="P159" s="206"/>
      <c r="Q159" s="206"/>
      <c r="R159" s="22"/>
      <c r="T159" s="127"/>
      <c r="U159" s="28" t="s">
        <v>42</v>
      </c>
      <c r="V159" s="128">
        <v>0.165</v>
      </c>
      <c r="W159" s="128">
        <f>$V$159*$K$159</f>
        <v>0.165</v>
      </c>
      <c r="X159" s="128">
        <v>0</v>
      </c>
      <c r="Y159" s="128">
        <f>$X$159*$K$159</f>
        <v>0</v>
      </c>
      <c r="Z159" s="128">
        <v>0</v>
      </c>
      <c r="AA159" s="129">
        <f>$Z$159*$K$159</f>
        <v>0</v>
      </c>
      <c r="AR159" s="6" t="s">
        <v>219</v>
      </c>
      <c r="AT159" s="6" t="s">
        <v>164</v>
      </c>
      <c r="AU159" s="6" t="s">
        <v>141</v>
      </c>
      <c r="AY159" s="6" t="s">
        <v>163</v>
      </c>
      <c r="BE159" s="82">
        <f>IF($U$159="základní",$N$159,0)</f>
        <v>0</v>
      </c>
      <c r="BF159" s="82">
        <f>IF($U$159="snížená",$N$159,0)</f>
        <v>0</v>
      </c>
      <c r="BG159" s="82">
        <f>IF($U$159="zákl. přenesená",$N$159,0)</f>
        <v>0</v>
      </c>
      <c r="BH159" s="82">
        <f>IF($U$159="sníž. přenesená",$N$159,0)</f>
        <v>0</v>
      </c>
      <c r="BI159" s="82">
        <f>IF($U$159="nulová",$N$159,0)</f>
        <v>0</v>
      </c>
      <c r="BJ159" s="6" t="s">
        <v>141</v>
      </c>
      <c r="BK159" s="82">
        <f>ROUND($L$159*$K$159,2)</f>
        <v>0</v>
      </c>
      <c r="BL159" s="6" t="s">
        <v>219</v>
      </c>
    </row>
    <row r="160" spans="2:64" s="6" customFormat="1" ht="27" customHeight="1">
      <c r="B160" s="21"/>
      <c r="C160" s="123" t="s">
        <v>279</v>
      </c>
      <c r="D160" s="123" t="s">
        <v>164</v>
      </c>
      <c r="E160" s="124" t="s">
        <v>238</v>
      </c>
      <c r="F160" s="205" t="s">
        <v>239</v>
      </c>
      <c r="G160" s="206"/>
      <c r="H160" s="206"/>
      <c r="I160" s="206"/>
      <c r="J160" s="125" t="s">
        <v>240</v>
      </c>
      <c r="K160" s="140">
        <v>0</v>
      </c>
      <c r="L160" s="207">
        <v>0</v>
      </c>
      <c r="M160" s="206"/>
      <c r="N160" s="208">
        <f>ROUND($L$160*$K$160,2)</f>
        <v>0</v>
      </c>
      <c r="O160" s="206"/>
      <c r="P160" s="206"/>
      <c r="Q160" s="206"/>
      <c r="R160" s="22"/>
      <c r="T160" s="127"/>
      <c r="U160" s="28" t="s">
        <v>42</v>
      </c>
      <c r="V160" s="128">
        <v>0</v>
      </c>
      <c r="W160" s="128">
        <f>$V$160*$K$160</f>
        <v>0</v>
      </c>
      <c r="X160" s="128">
        <v>0</v>
      </c>
      <c r="Y160" s="128">
        <f>$X$160*$K$160</f>
        <v>0</v>
      </c>
      <c r="Z160" s="128">
        <v>0</v>
      </c>
      <c r="AA160" s="129">
        <f>$Z$160*$K$160</f>
        <v>0</v>
      </c>
      <c r="AR160" s="6" t="s">
        <v>219</v>
      </c>
      <c r="AT160" s="6" t="s">
        <v>164</v>
      </c>
      <c r="AU160" s="6" t="s">
        <v>141</v>
      </c>
      <c r="AY160" s="6" t="s">
        <v>163</v>
      </c>
      <c r="BE160" s="82">
        <f>IF($U$160="základní",$N$160,0)</f>
        <v>0</v>
      </c>
      <c r="BF160" s="82">
        <f>IF($U$160="snížená",$N$160,0)</f>
        <v>0</v>
      </c>
      <c r="BG160" s="82">
        <f>IF($U$160="zákl. přenesená",$N$160,0)</f>
        <v>0</v>
      </c>
      <c r="BH160" s="82">
        <f>IF($U$160="sníž. přenesená",$N$160,0)</f>
        <v>0</v>
      </c>
      <c r="BI160" s="82">
        <f>IF($U$160="nulová",$N$160,0)</f>
        <v>0</v>
      </c>
      <c r="BJ160" s="6" t="s">
        <v>141</v>
      </c>
      <c r="BK160" s="82">
        <f>ROUND($L$160*$K$160,2)</f>
        <v>0</v>
      </c>
      <c r="BL160" s="6" t="s">
        <v>219</v>
      </c>
    </row>
    <row r="161" spans="2:63" s="113" customFormat="1" ht="30.75" customHeight="1">
      <c r="B161" s="114"/>
      <c r="D161" s="122" t="s">
        <v>133</v>
      </c>
      <c r="N161" s="223">
        <f>$BK$161</f>
        <v>0</v>
      </c>
      <c r="O161" s="222"/>
      <c r="P161" s="222"/>
      <c r="Q161" s="222"/>
      <c r="R161" s="117"/>
      <c r="T161" s="118"/>
      <c r="W161" s="119">
        <f>SUM($W$162:$W$166)</f>
        <v>1.165</v>
      </c>
      <c r="Y161" s="119">
        <f>SUM($Y$162:$Y$166)</f>
        <v>0</v>
      </c>
      <c r="AA161" s="120">
        <f>SUM($AA$162:$AA$166)</f>
        <v>0.0412</v>
      </c>
      <c r="AR161" s="116" t="s">
        <v>141</v>
      </c>
      <c r="AT161" s="116" t="s">
        <v>74</v>
      </c>
      <c r="AU161" s="116" t="s">
        <v>17</v>
      </c>
      <c r="AY161" s="116" t="s">
        <v>163</v>
      </c>
      <c r="BK161" s="121">
        <f>SUM($BK$162:$BK$166)</f>
        <v>0</v>
      </c>
    </row>
    <row r="162" spans="2:64" s="6" customFormat="1" ht="15.75" customHeight="1">
      <c r="B162" s="21"/>
      <c r="C162" s="123" t="s">
        <v>282</v>
      </c>
      <c r="D162" s="123" t="s">
        <v>164</v>
      </c>
      <c r="E162" s="124" t="s">
        <v>242</v>
      </c>
      <c r="F162" s="205" t="s">
        <v>243</v>
      </c>
      <c r="G162" s="206"/>
      <c r="H162" s="206"/>
      <c r="I162" s="206"/>
      <c r="J162" s="125" t="s">
        <v>244</v>
      </c>
      <c r="K162" s="126">
        <v>1</v>
      </c>
      <c r="L162" s="207">
        <v>0</v>
      </c>
      <c r="M162" s="206"/>
      <c r="N162" s="208">
        <f>ROUND($L$162*$K$162,2)</f>
        <v>0</v>
      </c>
      <c r="O162" s="206"/>
      <c r="P162" s="206"/>
      <c r="Q162" s="206"/>
      <c r="R162" s="22"/>
      <c r="T162" s="127"/>
      <c r="U162" s="28" t="s">
        <v>42</v>
      </c>
      <c r="V162" s="128">
        <v>0.548</v>
      </c>
      <c r="W162" s="128">
        <f>$V$162*$K$162</f>
        <v>0.548</v>
      </c>
      <c r="X162" s="128">
        <v>0</v>
      </c>
      <c r="Y162" s="128">
        <f>$X$162*$K$162</f>
        <v>0</v>
      </c>
      <c r="Z162" s="128">
        <v>0.01933</v>
      </c>
      <c r="AA162" s="129">
        <f>$Z$162*$K$162</f>
        <v>0.01933</v>
      </c>
      <c r="AR162" s="6" t="s">
        <v>219</v>
      </c>
      <c r="AT162" s="6" t="s">
        <v>164</v>
      </c>
      <c r="AU162" s="6" t="s">
        <v>141</v>
      </c>
      <c r="AY162" s="6" t="s">
        <v>163</v>
      </c>
      <c r="BE162" s="82">
        <f>IF($U$162="základní",$N$162,0)</f>
        <v>0</v>
      </c>
      <c r="BF162" s="82">
        <f>IF($U$162="snížená",$N$162,0)</f>
        <v>0</v>
      </c>
      <c r="BG162" s="82">
        <f>IF($U$162="zákl. přenesená",$N$162,0)</f>
        <v>0</v>
      </c>
      <c r="BH162" s="82">
        <f>IF($U$162="sníž. přenesená",$N$162,0)</f>
        <v>0</v>
      </c>
      <c r="BI162" s="82">
        <f>IF($U$162="nulová",$N$162,0)</f>
        <v>0</v>
      </c>
      <c r="BJ162" s="6" t="s">
        <v>141</v>
      </c>
      <c r="BK162" s="82">
        <f>ROUND($L$162*$K$162,2)</f>
        <v>0</v>
      </c>
      <c r="BL162" s="6" t="s">
        <v>219</v>
      </c>
    </row>
    <row r="163" spans="2:64" s="6" customFormat="1" ht="15.75" customHeight="1">
      <c r="B163" s="21"/>
      <c r="C163" s="123" t="s">
        <v>287</v>
      </c>
      <c r="D163" s="123" t="s">
        <v>164</v>
      </c>
      <c r="E163" s="124" t="s">
        <v>246</v>
      </c>
      <c r="F163" s="205" t="s">
        <v>247</v>
      </c>
      <c r="G163" s="206"/>
      <c r="H163" s="206"/>
      <c r="I163" s="206"/>
      <c r="J163" s="125" t="s">
        <v>244</v>
      </c>
      <c r="K163" s="126">
        <v>1</v>
      </c>
      <c r="L163" s="207">
        <v>0</v>
      </c>
      <c r="M163" s="206"/>
      <c r="N163" s="208">
        <f>ROUND($L$163*$K$163,2)</f>
        <v>0</v>
      </c>
      <c r="O163" s="206"/>
      <c r="P163" s="206"/>
      <c r="Q163" s="206"/>
      <c r="R163" s="22"/>
      <c r="T163" s="127"/>
      <c r="U163" s="28" t="s">
        <v>42</v>
      </c>
      <c r="V163" s="128">
        <v>0.362</v>
      </c>
      <c r="W163" s="128">
        <f>$V$163*$K$163</f>
        <v>0.362</v>
      </c>
      <c r="X163" s="128">
        <v>0</v>
      </c>
      <c r="Y163" s="128">
        <f>$X$163*$K$163</f>
        <v>0</v>
      </c>
      <c r="Z163" s="128">
        <v>0.01946</v>
      </c>
      <c r="AA163" s="129">
        <f>$Z$163*$K$163</f>
        <v>0.01946</v>
      </c>
      <c r="AR163" s="6" t="s">
        <v>219</v>
      </c>
      <c r="AT163" s="6" t="s">
        <v>164</v>
      </c>
      <c r="AU163" s="6" t="s">
        <v>141</v>
      </c>
      <c r="AY163" s="6" t="s">
        <v>163</v>
      </c>
      <c r="BE163" s="82">
        <f>IF($U$163="základní",$N$163,0)</f>
        <v>0</v>
      </c>
      <c r="BF163" s="82">
        <f>IF($U$163="snížená",$N$163,0)</f>
        <v>0</v>
      </c>
      <c r="BG163" s="82">
        <f>IF($U$163="zákl. přenesená",$N$163,0)</f>
        <v>0</v>
      </c>
      <c r="BH163" s="82">
        <f>IF($U$163="sníž. přenesená",$N$163,0)</f>
        <v>0</v>
      </c>
      <c r="BI163" s="82">
        <f>IF($U$163="nulová",$N$163,0)</f>
        <v>0</v>
      </c>
      <c r="BJ163" s="6" t="s">
        <v>141</v>
      </c>
      <c r="BK163" s="82">
        <f>ROUND($L$163*$K$163,2)</f>
        <v>0</v>
      </c>
      <c r="BL163" s="6" t="s">
        <v>219</v>
      </c>
    </row>
    <row r="164" spans="2:64" s="6" customFormat="1" ht="15.75" customHeight="1">
      <c r="B164" s="21"/>
      <c r="C164" s="123" t="s">
        <v>291</v>
      </c>
      <c r="D164" s="123" t="s">
        <v>164</v>
      </c>
      <c r="E164" s="124" t="s">
        <v>249</v>
      </c>
      <c r="F164" s="205" t="s">
        <v>250</v>
      </c>
      <c r="G164" s="206"/>
      <c r="H164" s="206"/>
      <c r="I164" s="206"/>
      <c r="J164" s="125" t="s">
        <v>244</v>
      </c>
      <c r="K164" s="126">
        <v>1</v>
      </c>
      <c r="L164" s="207">
        <v>0</v>
      </c>
      <c r="M164" s="206"/>
      <c r="N164" s="208">
        <f>ROUND($L$164*$K$164,2)</f>
        <v>0</v>
      </c>
      <c r="O164" s="206"/>
      <c r="P164" s="206"/>
      <c r="Q164" s="206"/>
      <c r="R164" s="22"/>
      <c r="T164" s="127"/>
      <c r="U164" s="28" t="s">
        <v>42</v>
      </c>
      <c r="V164" s="128">
        <v>0.217</v>
      </c>
      <c r="W164" s="128">
        <f>$V$164*$K$164</f>
        <v>0.217</v>
      </c>
      <c r="X164" s="128">
        <v>0</v>
      </c>
      <c r="Y164" s="128">
        <f>$X$164*$K$164</f>
        <v>0</v>
      </c>
      <c r="Z164" s="128">
        <v>0.00156</v>
      </c>
      <c r="AA164" s="129">
        <f>$Z$164*$K$164</f>
        <v>0.00156</v>
      </c>
      <c r="AR164" s="6" t="s">
        <v>219</v>
      </c>
      <c r="AT164" s="6" t="s">
        <v>164</v>
      </c>
      <c r="AU164" s="6" t="s">
        <v>141</v>
      </c>
      <c r="AY164" s="6" t="s">
        <v>163</v>
      </c>
      <c r="BE164" s="82">
        <f>IF($U$164="základní",$N$164,0)</f>
        <v>0</v>
      </c>
      <c r="BF164" s="82">
        <f>IF($U$164="snížená",$N$164,0)</f>
        <v>0</v>
      </c>
      <c r="BG164" s="82">
        <f>IF($U$164="zákl. přenesená",$N$164,0)</f>
        <v>0</v>
      </c>
      <c r="BH164" s="82">
        <f>IF($U$164="sníž. přenesená",$N$164,0)</f>
        <v>0</v>
      </c>
      <c r="BI164" s="82">
        <f>IF($U$164="nulová",$N$164,0)</f>
        <v>0</v>
      </c>
      <c r="BJ164" s="6" t="s">
        <v>141</v>
      </c>
      <c r="BK164" s="82">
        <f>ROUND($L$164*$K$164,2)</f>
        <v>0</v>
      </c>
      <c r="BL164" s="6" t="s">
        <v>219</v>
      </c>
    </row>
    <row r="165" spans="2:64" s="6" customFormat="1" ht="15.75" customHeight="1">
      <c r="B165" s="21"/>
      <c r="C165" s="123" t="s">
        <v>298</v>
      </c>
      <c r="D165" s="123" t="s">
        <v>164</v>
      </c>
      <c r="E165" s="124" t="s">
        <v>252</v>
      </c>
      <c r="F165" s="205" t="s">
        <v>253</v>
      </c>
      <c r="G165" s="206"/>
      <c r="H165" s="206"/>
      <c r="I165" s="206"/>
      <c r="J165" s="125" t="s">
        <v>167</v>
      </c>
      <c r="K165" s="126">
        <v>1</v>
      </c>
      <c r="L165" s="207">
        <v>0</v>
      </c>
      <c r="M165" s="206"/>
      <c r="N165" s="208">
        <f>ROUND($L$165*$K$165,2)</f>
        <v>0</v>
      </c>
      <c r="O165" s="206"/>
      <c r="P165" s="206"/>
      <c r="Q165" s="206"/>
      <c r="R165" s="22"/>
      <c r="T165" s="127"/>
      <c r="U165" s="28" t="s">
        <v>42</v>
      </c>
      <c r="V165" s="128">
        <v>0.038</v>
      </c>
      <c r="W165" s="128">
        <f>$V$165*$K$165</f>
        <v>0.038</v>
      </c>
      <c r="X165" s="128">
        <v>0</v>
      </c>
      <c r="Y165" s="128">
        <f>$X$165*$K$165</f>
        <v>0</v>
      </c>
      <c r="Z165" s="128">
        <v>0.00085</v>
      </c>
      <c r="AA165" s="129">
        <f>$Z$165*$K$165</f>
        <v>0.00085</v>
      </c>
      <c r="AR165" s="6" t="s">
        <v>219</v>
      </c>
      <c r="AT165" s="6" t="s">
        <v>164</v>
      </c>
      <c r="AU165" s="6" t="s">
        <v>141</v>
      </c>
      <c r="AY165" s="6" t="s">
        <v>163</v>
      </c>
      <c r="BE165" s="82">
        <f>IF($U$165="základní",$N$165,0)</f>
        <v>0</v>
      </c>
      <c r="BF165" s="82">
        <f>IF($U$165="snížená",$N$165,0)</f>
        <v>0</v>
      </c>
      <c r="BG165" s="82">
        <f>IF($U$165="zákl. přenesená",$N$165,0)</f>
        <v>0</v>
      </c>
      <c r="BH165" s="82">
        <f>IF($U$165="sníž. přenesená",$N$165,0)</f>
        <v>0</v>
      </c>
      <c r="BI165" s="82">
        <f>IF($U$165="nulová",$N$165,0)</f>
        <v>0</v>
      </c>
      <c r="BJ165" s="6" t="s">
        <v>141</v>
      </c>
      <c r="BK165" s="82">
        <f>ROUND($L$165*$K$165,2)</f>
        <v>0</v>
      </c>
      <c r="BL165" s="6" t="s">
        <v>219</v>
      </c>
    </row>
    <row r="166" spans="2:64" s="6" customFormat="1" ht="27" customHeight="1">
      <c r="B166" s="21"/>
      <c r="C166" s="123" t="s">
        <v>301</v>
      </c>
      <c r="D166" s="123" t="s">
        <v>164</v>
      </c>
      <c r="E166" s="124" t="s">
        <v>255</v>
      </c>
      <c r="F166" s="205" t="s">
        <v>256</v>
      </c>
      <c r="G166" s="206"/>
      <c r="H166" s="206"/>
      <c r="I166" s="206"/>
      <c r="J166" s="125" t="s">
        <v>240</v>
      </c>
      <c r="K166" s="140">
        <v>0</v>
      </c>
      <c r="L166" s="207">
        <v>0</v>
      </c>
      <c r="M166" s="206"/>
      <c r="N166" s="208">
        <f>ROUND($L$166*$K$166,2)</f>
        <v>0</v>
      </c>
      <c r="O166" s="206"/>
      <c r="P166" s="206"/>
      <c r="Q166" s="206"/>
      <c r="R166" s="22"/>
      <c r="T166" s="127"/>
      <c r="U166" s="28" t="s">
        <v>42</v>
      </c>
      <c r="V166" s="128">
        <v>0</v>
      </c>
      <c r="W166" s="128">
        <f>$V$166*$K$166</f>
        <v>0</v>
      </c>
      <c r="X166" s="128">
        <v>0</v>
      </c>
      <c r="Y166" s="128">
        <f>$X$166*$K$166</f>
        <v>0</v>
      </c>
      <c r="Z166" s="128">
        <v>0</v>
      </c>
      <c r="AA166" s="129">
        <f>$Z$166*$K$166</f>
        <v>0</v>
      </c>
      <c r="AR166" s="6" t="s">
        <v>219</v>
      </c>
      <c r="AT166" s="6" t="s">
        <v>164</v>
      </c>
      <c r="AU166" s="6" t="s">
        <v>141</v>
      </c>
      <c r="AY166" s="6" t="s">
        <v>163</v>
      </c>
      <c r="BE166" s="82">
        <f>IF($U$166="základní",$N$166,0)</f>
        <v>0</v>
      </c>
      <c r="BF166" s="82">
        <f>IF($U$166="snížená",$N$166,0)</f>
        <v>0</v>
      </c>
      <c r="BG166" s="82">
        <f>IF($U$166="zákl. přenesená",$N$166,0)</f>
        <v>0</v>
      </c>
      <c r="BH166" s="82">
        <f>IF($U$166="sníž. přenesená",$N$166,0)</f>
        <v>0</v>
      </c>
      <c r="BI166" s="82">
        <f>IF($U$166="nulová",$N$166,0)</f>
        <v>0</v>
      </c>
      <c r="BJ166" s="6" t="s">
        <v>141</v>
      </c>
      <c r="BK166" s="82">
        <f>ROUND($L$166*$K$166,2)</f>
        <v>0</v>
      </c>
      <c r="BL166" s="6" t="s">
        <v>219</v>
      </c>
    </row>
    <row r="167" spans="2:63" s="113" customFormat="1" ht="30.75" customHeight="1">
      <c r="B167" s="114"/>
      <c r="D167" s="122" t="s">
        <v>134</v>
      </c>
      <c r="N167" s="223">
        <f>$BK$167</f>
        <v>0</v>
      </c>
      <c r="O167" s="222"/>
      <c r="P167" s="222"/>
      <c r="Q167" s="222"/>
      <c r="R167" s="117"/>
      <c r="T167" s="118"/>
      <c r="W167" s="119">
        <f>SUM($W$168:$W$175)</f>
        <v>6.14808</v>
      </c>
      <c r="Y167" s="119">
        <f>SUM($Y$168:$Y$175)</f>
        <v>0.11750000000000001</v>
      </c>
      <c r="AA167" s="120">
        <f>SUM($AA$168:$AA$175)</f>
        <v>0.37512900000000005</v>
      </c>
      <c r="AR167" s="116" t="s">
        <v>141</v>
      </c>
      <c r="AT167" s="116" t="s">
        <v>74</v>
      </c>
      <c r="AU167" s="116" t="s">
        <v>17</v>
      </c>
      <c r="AY167" s="116" t="s">
        <v>163</v>
      </c>
      <c r="BK167" s="121">
        <f>SUM($BK$168:$BK$175)</f>
        <v>0</v>
      </c>
    </row>
    <row r="168" spans="2:64" s="6" customFormat="1" ht="27" customHeight="1">
      <c r="B168" s="21"/>
      <c r="C168" s="123" t="s">
        <v>8</v>
      </c>
      <c r="D168" s="123" t="s">
        <v>164</v>
      </c>
      <c r="E168" s="124" t="s">
        <v>392</v>
      </c>
      <c r="F168" s="205" t="s">
        <v>393</v>
      </c>
      <c r="G168" s="206"/>
      <c r="H168" s="206"/>
      <c r="I168" s="206"/>
      <c r="J168" s="125" t="s">
        <v>171</v>
      </c>
      <c r="K168" s="126">
        <v>12.22</v>
      </c>
      <c r="L168" s="207">
        <v>0</v>
      </c>
      <c r="M168" s="206"/>
      <c r="N168" s="208">
        <f>ROUND($L$168*$K$168,2)</f>
        <v>0</v>
      </c>
      <c r="O168" s="206"/>
      <c r="P168" s="206"/>
      <c r="Q168" s="206"/>
      <c r="R168" s="22"/>
      <c r="T168" s="127"/>
      <c r="U168" s="28" t="s">
        <v>42</v>
      </c>
      <c r="V168" s="128">
        <v>0.164</v>
      </c>
      <c r="W168" s="128">
        <f>$V$168*$K$168</f>
        <v>2.00408</v>
      </c>
      <c r="X168" s="128">
        <v>0</v>
      </c>
      <c r="Y168" s="128">
        <f>$X$168*$K$168</f>
        <v>0</v>
      </c>
      <c r="Z168" s="128">
        <v>0.01695</v>
      </c>
      <c r="AA168" s="129">
        <f>$Z$168*$K$168</f>
        <v>0.207129</v>
      </c>
      <c r="AR168" s="6" t="s">
        <v>168</v>
      </c>
      <c r="AT168" s="6" t="s">
        <v>164</v>
      </c>
      <c r="AU168" s="6" t="s">
        <v>141</v>
      </c>
      <c r="AY168" s="6" t="s">
        <v>163</v>
      </c>
      <c r="BE168" s="82">
        <f>IF($U$168="základní",$N$168,0)</f>
        <v>0</v>
      </c>
      <c r="BF168" s="82">
        <f>IF($U$168="snížená",$N$168,0)</f>
        <v>0</v>
      </c>
      <c r="BG168" s="82">
        <f>IF($U$168="zákl. přenesená",$N$168,0)</f>
        <v>0</v>
      </c>
      <c r="BH168" s="82">
        <f>IF($U$168="sníž. přenesená",$N$168,0)</f>
        <v>0</v>
      </c>
      <c r="BI168" s="82">
        <f>IF($U$168="nulová",$N$168,0)</f>
        <v>0</v>
      </c>
      <c r="BJ168" s="6" t="s">
        <v>141</v>
      </c>
      <c r="BK168" s="82">
        <f>ROUND($L$168*$K$168,2)</f>
        <v>0</v>
      </c>
      <c r="BL168" s="6" t="s">
        <v>168</v>
      </c>
    </row>
    <row r="169" spans="2:51" s="6" customFormat="1" ht="15.75" customHeight="1">
      <c r="B169" s="130"/>
      <c r="E169" s="131"/>
      <c r="F169" s="209" t="s">
        <v>421</v>
      </c>
      <c r="G169" s="210"/>
      <c r="H169" s="210"/>
      <c r="I169" s="210"/>
      <c r="K169" s="132">
        <v>12.22</v>
      </c>
      <c r="R169" s="133"/>
      <c r="T169" s="134"/>
      <c r="AA169" s="135"/>
      <c r="AT169" s="131" t="s">
        <v>173</v>
      </c>
      <c r="AU169" s="131" t="s">
        <v>141</v>
      </c>
      <c r="AV169" s="131" t="s">
        <v>141</v>
      </c>
      <c r="AW169" s="131" t="s">
        <v>125</v>
      </c>
      <c r="AX169" s="131" t="s">
        <v>17</v>
      </c>
      <c r="AY169" s="131" t="s">
        <v>163</v>
      </c>
    </row>
    <row r="170" spans="2:64" s="6" customFormat="1" ht="15.75" customHeight="1">
      <c r="B170" s="21"/>
      <c r="C170" s="123" t="s">
        <v>219</v>
      </c>
      <c r="D170" s="123" t="s">
        <v>164</v>
      </c>
      <c r="E170" s="124" t="s">
        <v>258</v>
      </c>
      <c r="F170" s="205" t="s">
        <v>259</v>
      </c>
      <c r="G170" s="206"/>
      <c r="H170" s="206"/>
      <c r="I170" s="206"/>
      <c r="J170" s="125" t="s">
        <v>167</v>
      </c>
      <c r="K170" s="126">
        <v>7</v>
      </c>
      <c r="L170" s="207">
        <v>0</v>
      </c>
      <c r="M170" s="206"/>
      <c r="N170" s="208">
        <f>ROUND($L$170*$K$170,2)</f>
        <v>0</v>
      </c>
      <c r="O170" s="206"/>
      <c r="P170" s="206"/>
      <c r="Q170" s="206"/>
      <c r="R170" s="22"/>
      <c r="T170" s="127"/>
      <c r="U170" s="28" t="s">
        <v>42</v>
      </c>
      <c r="V170" s="128">
        <v>0.542</v>
      </c>
      <c r="W170" s="128">
        <f>$V$170*$K$170</f>
        <v>3.7940000000000005</v>
      </c>
      <c r="X170" s="128">
        <v>0</v>
      </c>
      <c r="Y170" s="128">
        <f>$X$170*$K$170</f>
        <v>0</v>
      </c>
      <c r="Z170" s="128">
        <v>0</v>
      </c>
      <c r="AA170" s="129">
        <f>$Z$170*$K$170</f>
        <v>0</v>
      </c>
      <c r="AR170" s="6" t="s">
        <v>219</v>
      </c>
      <c r="AT170" s="6" t="s">
        <v>164</v>
      </c>
      <c r="AU170" s="6" t="s">
        <v>141</v>
      </c>
      <c r="AY170" s="6" t="s">
        <v>163</v>
      </c>
      <c r="BE170" s="82">
        <f>IF($U$170="základní",$N$170,0)</f>
        <v>0</v>
      </c>
      <c r="BF170" s="82">
        <f>IF($U$170="snížená",$N$170,0)</f>
        <v>0</v>
      </c>
      <c r="BG170" s="82">
        <f>IF($U$170="zákl. přenesená",$N$170,0)</f>
        <v>0</v>
      </c>
      <c r="BH170" s="82">
        <f>IF($U$170="sníž. přenesená",$N$170,0)</f>
        <v>0</v>
      </c>
      <c r="BI170" s="82">
        <f>IF($U$170="nulová",$N$170,0)</f>
        <v>0</v>
      </c>
      <c r="BJ170" s="6" t="s">
        <v>141</v>
      </c>
      <c r="BK170" s="82">
        <f>ROUND($L$170*$K$170,2)</f>
        <v>0</v>
      </c>
      <c r="BL170" s="6" t="s">
        <v>219</v>
      </c>
    </row>
    <row r="171" spans="2:64" s="6" customFormat="1" ht="15.75" customHeight="1">
      <c r="B171" s="21"/>
      <c r="C171" s="136" t="s">
        <v>223</v>
      </c>
      <c r="D171" s="136" t="s">
        <v>190</v>
      </c>
      <c r="E171" s="137" t="s">
        <v>261</v>
      </c>
      <c r="F171" s="211" t="s">
        <v>262</v>
      </c>
      <c r="G171" s="212"/>
      <c r="H171" s="212"/>
      <c r="I171" s="212"/>
      <c r="J171" s="138" t="s">
        <v>167</v>
      </c>
      <c r="K171" s="139">
        <v>7</v>
      </c>
      <c r="L171" s="213">
        <v>0</v>
      </c>
      <c r="M171" s="212"/>
      <c r="N171" s="214">
        <f>ROUND($L$171*$K$171,2)</f>
        <v>0</v>
      </c>
      <c r="O171" s="206"/>
      <c r="P171" s="206"/>
      <c r="Q171" s="206"/>
      <c r="R171" s="22"/>
      <c r="T171" s="127"/>
      <c r="U171" s="28" t="s">
        <v>42</v>
      </c>
      <c r="V171" s="128">
        <v>0</v>
      </c>
      <c r="W171" s="128">
        <f>$V$171*$K$171</f>
        <v>0</v>
      </c>
      <c r="X171" s="128">
        <v>0.001</v>
      </c>
      <c r="Y171" s="128">
        <f>$X$171*$K$171</f>
        <v>0.007</v>
      </c>
      <c r="Z171" s="128">
        <v>0</v>
      </c>
      <c r="AA171" s="129">
        <f>$Z$171*$K$171</f>
        <v>0</v>
      </c>
      <c r="AR171" s="6" t="s">
        <v>263</v>
      </c>
      <c r="AT171" s="6" t="s">
        <v>190</v>
      </c>
      <c r="AU171" s="6" t="s">
        <v>141</v>
      </c>
      <c r="AY171" s="6" t="s">
        <v>163</v>
      </c>
      <c r="BE171" s="82">
        <f>IF($U$171="základní",$N$171,0)</f>
        <v>0</v>
      </c>
      <c r="BF171" s="82">
        <f>IF($U$171="snížená",$N$171,0)</f>
        <v>0</v>
      </c>
      <c r="BG171" s="82">
        <f>IF($U$171="zákl. přenesená",$N$171,0)</f>
        <v>0</v>
      </c>
      <c r="BH171" s="82">
        <f>IF($U$171="sníž. přenesená",$N$171,0)</f>
        <v>0</v>
      </c>
      <c r="BI171" s="82">
        <f>IF($U$171="nulová",$N$171,0)</f>
        <v>0</v>
      </c>
      <c r="BJ171" s="6" t="s">
        <v>141</v>
      </c>
      <c r="BK171" s="82">
        <f>ROUND($L$171*$K$171,2)</f>
        <v>0</v>
      </c>
      <c r="BL171" s="6" t="s">
        <v>219</v>
      </c>
    </row>
    <row r="172" spans="2:64" s="6" customFormat="1" ht="27" customHeight="1">
      <c r="B172" s="21"/>
      <c r="C172" s="123" t="s">
        <v>226</v>
      </c>
      <c r="D172" s="123" t="s">
        <v>164</v>
      </c>
      <c r="E172" s="124" t="s">
        <v>265</v>
      </c>
      <c r="F172" s="205" t="s">
        <v>266</v>
      </c>
      <c r="G172" s="206"/>
      <c r="H172" s="206"/>
      <c r="I172" s="206"/>
      <c r="J172" s="125" t="s">
        <v>167</v>
      </c>
      <c r="K172" s="126">
        <v>7</v>
      </c>
      <c r="L172" s="207">
        <v>0</v>
      </c>
      <c r="M172" s="206"/>
      <c r="N172" s="208">
        <f>ROUND($L$172*$K$172,2)</f>
        <v>0</v>
      </c>
      <c r="O172" s="206"/>
      <c r="P172" s="206"/>
      <c r="Q172" s="206"/>
      <c r="R172" s="22"/>
      <c r="T172" s="127"/>
      <c r="U172" s="28" t="s">
        <v>42</v>
      </c>
      <c r="V172" s="128">
        <v>0.05</v>
      </c>
      <c r="W172" s="128">
        <f>$V$172*$K$172</f>
        <v>0.35000000000000003</v>
      </c>
      <c r="X172" s="128">
        <v>0</v>
      </c>
      <c r="Y172" s="128">
        <f>$X$172*$K$172</f>
        <v>0</v>
      </c>
      <c r="Z172" s="128">
        <v>0.024</v>
      </c>
      <c r="AA172" s="129">
        <f>$Z$172*$K$172</f>
        <v>0.168</v>
      </c>
      <c r="AR172" s="6" t="s">
        <v>219</v>
      </c>
      <c r="AT172" s="6" t="s">
        <v>164</v>
      </c>
      <c r="AU172" s="6" t="s">
        <v>141</v>
      </c>
      <c r="AY172" s="6" t="s">
        <v>163</v>
      </c>
      <c r="BE172" s="82">
        <f>IF($U$172="základní",$N$172,0)</f>
        <v>0</v>
      </c>
      <c r="BF172" s="82">
        <f>IF($U$172="snížená",$N$172,0)</f>
        <v>0</v>
      </c>
      <c r="BG172" s="82">
        <f>IF($U$172="zákl. přenesená",$N$172,0)</f>
        <v>0</v>
      </c>
      <c r="BH172" s="82">
        <f>IF($U$172="sníž. přenesená",$N$172,0)</f>
        <v>0</v>
      </c>
      <c r="BI172" s="82">
        <f>IF($U$172="nulová",$N$172,0)</f>
        <v>0</v>
      </c>
      <c r="BJ172" s="6" t="s">
        <v>141</v>
      </c>
      <c r="BK172" s="82">
        <f>ROUND($L$172*$K$172,2)</f>
        <v>0</v>
      </c>
      <c r="BL172" s="6" t="s">
        <v>219</v>
      </c>
    </row>
    <row r="173" spans="2:64" s="6" customFormat="1" ht="27" customHeight="1">
      <c r="B173" s="21"/>
      <c r="C173" s="136" t="s">
        <v>229</v>
      </c>
      <c r="D173" s="136" t="s">
        <v>190</v>
      </c>
      <c r="E173" s="137" t="s">
        <v>268</v>
      </c>
      <c r="F173" s="211" t="s">
        <v>269</v>
      </c>
      <c r="G173" s="212"/>
      <c r="H173" s="212"/>
      <c r="I173" s="212"/>
      <c r="J173" s="138" t="s">
        <v>167</v>
      </c>
      <c r="K173" s="139">
        <v>6</v>
      </c>
      <c r="L173" s="213">
        <v>0</v>
      </c>
      <c r="M173" s="212"/>
      <c r="N173" s="214">
        <f>ROUND($L$173*$K$173,2)</f>
        <v>0</v>
      </c>
      <c r="O173" s="206"/>
      <c r="P173" s="206"/>
      <c r="Q173" s="206"/>
      <c r="R173" s="22"/>
      <c r="T173" s="127"/>
      <c r="U173" s="28" t="s">
        <v>42</v>
      </c>
      <c r="V173" s="128">
        <v>0</v>
      </c>
      <c r="W173" s="128">
        <f>$V$173*$K$173</f>
        <v>0</v>
      </c>
      <c r="X173" s="128">
        <v>0.0155</v>
      </c>
      <c r="Y173" s="128">
        <f>$X$173*$K$173</f>
        <v>0.093</v>
      </c>
      <c r="Z173" s="128">
        <v>0</v>
      </c>
      <c r="AA173" s="129">
        <f>$Z$173*$K$173</f>
        <v>0</v>
      </c>
      <c r="AR173" s="6" t="s">
        <v>263</v>
      </c>
      <c r="AT173" s="6" t="s">
        <v>190</v>
      </c>
      <c r="AU173" s="6" t="s">
        <v>141</v>
      </c>
      <c r="AY173" s="6" t="s">
        <v>163</v>
      </c>
      <c r="BE173" s="82">
        <f>IF($U$173="základní",$N$173,0)</f>
        <v>0</v>
      </c>
      <c r="BF173" s="82">
        <f>IF($U$173="snížená",$N$173,0)</f>
        <v>0</v>
      </c>
      <c r="BG173" s="82">
        <f>IF($U$173="zákl. přenesená",$N$173,0)</f>
        <v>0</v>
      </c>
      <c r="BH173" s="82">
        <f>IF($U$173="sníž. přenesená",$N$173,0)</f>
        <v>0</v>
      </c>
      <c r="BI173" s="82">
        <f>IF($U$173="nulová",$N$173,0)</f>
        <v>0</v>
      </c>
      <c r="BJ173" s="6" t="s">
        <v>141</v>
      </c>
      <c r="BK173" s="82">
        <f>ROUND($L$173*$K$173,2)</f>
        <v>0</v>
      </c>
      <c r="BL173" s="6" t="s">
        <v>219</v>
      </c>
    </row>
    <row r="174" spans="2:64" s="6" customFormat="1" ht="27" customHeight="1">
      <c r="B174" s="21"/>
      <c r="C174" s="136" t="s">
        <v>232</v>
      </c>
      <c r="D174" s="136" t="s">
        <v>190</v>
      </c>
      <c r="E174" s="137" t="s">
        <v>270</v>
      </c>
      <c r="F174" s="211" t="s">
        <v>271</v>
      </c>
      <c r="G174" s="212"/>
      <c r="H174" s="212"/>
      <c r="I174" s="212"/>
      <c r="J174" s="138" t="s">
        <v>167</v>
      </c>
      <c r="K174" s="139">
        <v>1</v>
      </c>
      <c r="L174" s="213">
        <v>0</v>
      </c>
      <c r="M174" s="212"/>
      <c r="N174" s="214">
        <f>ROUND($L$174*$K$174,2)</f>
        <v>0</v>
      </c>
      <c r="O174" s="206"/>
      <c r="P174" s="206"/>
      <c r="Q174" s="206"/>
      <c r="R174" s="22"/>
      <c r="T174" s="127"/>
      <c r="U174" s="28" t="s">
        <v>42</v>
      </c>
      <c r="V174" s="128">
        <v>0</v>
      </c>
      <c r="W174" s="128">
        <f>$V$174*$K$174</f>
        <v>0</v>
      </c>
      <c r="X174" s="128">
        <v>0.0175</v>
      </c>
      <c r="Y174" s="128">
        <f>$X$174*$K$174</f>
        <v>0.0175</v>
      </c>
      <c r="Z174" s="128">
        <v>0</v>
      </c>
      <c r="AA174" s="129">
        <f>$Z$174*$K$174</f>
        <v>0</v>
      </c>
      <c r="AR174" s="6" t="s">
        <v>263</v>
      </c>
      <c r="AT174" s="6" t="s">
        <v>190</v>
      </c>
      <c r="AU174" s="6" t="s">
        <v>141</v>
      </c>
      <c r="AY174" s="6" t="s">
        <v>163</v>
      </c>
      <c r="BE174" s="82">
        <f>IF($U$174="základní",$N$174,0)</f>
        <v>0</v>
      </c>
      <c r="BF174" s="82">
        <f>IF($U$174="snížená",$N$174,0)</f>
        <v>0</v>
      </c>
      <c r="BG174" s="82">
        <f>IF($U$174="zákl. přenesená",$N$174,0)</f>
        <v>0</v>
      </c>
      <c r="BH174" s="82">
        <f>IF($U$174="sníž. přenesená",$N$174,0)</f>
        <v>0</v>
      </c>
      <c r="BI174" s="82">
        <f>IF($U$174="nulová",$N$174,0)</f>
        <v>0</v>
      </c>
      <c r="BJ174" s="6" t="s">
        <v>141</v>
      </c>
      <c r="BK174" s="82">
        <f>ROUND($L$174*$K$174,2)</f>
        <v>0</v>
      </c>
      <c r="BL174" s="6" t="s">
        <v>219</v>
      </c>
    </row>
    <row r="175" spans="2:64" s="6" customFormat="1" ht="27" customHeight="1">
      <c r="B175" s="21"/>
      <c r="C175" s="123" t="s">
        <v>7</v>
      </c>
      <c r="D175" s="123" t="s">
        <v>164</v>
      </c>
      <c r="E175" s="124" t="s">
        <v>273</v>
      </c>
      <c r="F175" s="205" t="s">
        <v>274</v>
      </c>
      <c r="G175" s="206"/>
      <c r="H175" s="206"/>
      <c r="I175" s="206"/>
      <c r="J175" s="125" t="s">
        <v>240</v>
      </c>
      <c r="K175" s="140">
        <v>0</v>
      </c>
      <c r="L175" s="207">
        <v>0</v>
      </c>
      <c r="M175" s="206"/>
      <c r="N175" s="208">
        <f>ROUND($L$175*$K$175,2)</f>
        <v>0</v>
      </c>
      <c r="O175" s="206"/>
      <c r="P175" s="206"/>
      <c r="Q175" s="206"/>
      <c r="R175" s="22"/>
      <c r="T175" s="127"/>
      <c r="U175" s="28" t="s">
        <v>42</v>
      </c>
      <c r="V175" s="128">
        <v>0</v>
      </c>
      <c r="W175" s="128">
        <f>$V$175*$K$175</f>
        <v>0</v>
      </c>
      <c r="X175" s="128">
        <v>0</v>
      </c>
      <c r="Y175" s="128">
        <f>$X$175*$K$175</f>
        <v>0</v>
      </c>
      <c r="Z175" s="128">
        <v>0</v>
      </c>
      <c r="AA175" s="129">
        <f>$Z$175*$K$175</f>
        <v>0</v>
      </c>
      <c r="AR175" s="6" t="s">
        <v>219</v>
      </c>
      <c r="AT175" s="6" t="s">
        <v>164</v>
      </c>
      <c r="AU175" s="6" t="s">
        <v>141</v>
      </c>
      <c r="AY175" s="6" t="s">
        <v>163</v>
      </c>
      <c r="BE175" s="82">
        <f>IF($U$175="základní",$N$175,0)</f>
        <v>0</v>
      </c>
      <c r="BF175" s="82">
        <f>IF($U$175="snížená",$N$175,0)</f>
        <v>0</v>
      </c>
      <c r="BG175" s="82">
        <f>IF($U$175="zákl. přenesená",$N$175,0)</f>
        <v>0</v>
      </c>
      <c r="BH175" s="82">
        <f>IF($U$175="sníž. přenesená",$N$175,0)</f>
        <v>0</v>
      </c>
      <c r="BI175" s="82">
        <f>IF($U$175="nulová",$N$175,0)</f>
        <v>0</v>
      </c>
      <c r="BJ175" s="6" t="s">
        <v>141</v>
      </c>
      <c r="BK175" s="82">
        <f>ROUND($L$175*$K$175,2)</f>
        <v>0</v>
      </c>
      <c r="BL175" s="6" t="s">
        <v>219</v>
      </c>
    </row>
    <row r="176" spans="2:63" s="113" customFormat="1" ht="30.75" customHeight="1">
      <c r="B176" s="114"/>
      <c r="D176" s="122" t="s">
        <v>135</v>
      </c>
      <c r="N176" s="223">
        <f>$BK$176</f>
        <v>0</v>
      </c>
      <c r="O176" s="222"/>
      <c r="P176" s="222"/>
      <c r="Q176" s="222"/>
      <c r="R176" s="117"/>
      <c r="T176" s="118"/>
      <c r="W176" s="119">
        <f>SUM($W$177:$W$181)</f>
        <v>18.318900000000003</v>
      </c>
      <c r="Y176" s="119">
        <f>SUM($Y$177:$Y$181)</f>
        <v>0.011017320000000002</v>
      </c>
      <c r="AA176" s="120">
        <f>SUM($AA$177:$AA$181)</f>
        <v>0</v>
      </c>
      <c r="AR176" s="116" t="s">
        <v>141</v>
      </c>
      <c r="AT176" s="116" t="s">
        <v>74</v>
      </c>
      <c r="AU176" s="116" t="s">
        <v>17</v>
      </c>
      <c r="AY176" s="116" t="s">
        <v>163</v>
      </c>
      <c r="BK176" s="121">
        <f>SUM($BK$177:$BK$181)</f>
        <v>0</v>
      </c>
    </row>
    <row r="177" spans="2:64" s="6" customFormat="1" ht="27" customHeight="1">
      <c r="B177" s="21"/>
      <c r="C177" s="123" t="s">
        <v>237</v>
      </c>
      <c r="D177" s="123" t="s">
        <v>164</v>
      </c>
      <c r="E177" s="124" t="s">
        <v>276</v>
      </c>
      <c r="F177" s="205" t="s">
        <v>277</v>
      </c>
      <c r="G177" s="206"/>
      <c r="H177" s="206"/>
      <c r="I177" s="206"/>
      <c r="J177" s="125" t="s">
        <v>171</v>
      </c>
      <c r="K177" s="126">
        <v>14.848</v>
      </c>
      <c r="L177" s="207">
        <v>0</v>
      </c>
      <c r="M177" s="206"/>
      <c r="N177" s="208">
        <f>ROUND($L$177*$K$177,2)</f>
        <v>0</v>
      </c>
      <c r="O177" s="206"/>
      <c r="P177" s="206"/>
      <c r="Q177" s="206"/>
      <c r="R177" s="22"/>
      <c r="T177" s="127"/>
      <c r="U177" s="28" t="s">
        <v>42</v>
      </c>
      <c r="V177" s="128">
        <v>0.287</v>
      </c>
      <c r="W177" s="128">
        <f>$V$177*$K$177</f>
        <v>4.261376</v>
      </c>
      <c r="X177" s="128">
        <v>0.00016</v>
      </c>
      <c r="Y177" s="128">
        <f>$X$177*$K$177</f>
        <v>0.0023756800000000002</v>
      </c>
      <c r="Z177" s="128">
        <v>0</v>
      </c>
      <c r="AA177" s="129">
        <f>$Z$177*$K$177</f>
        <v>0</v>
      </c>
      <c r="AR177" s="6" t="s">
        <v>219</v>
      </c>
      <c r="AT177" s="6" t="s">
        <v>164</v>
      </c>
      <c r="AU177" s="6" t="s">
        <v>141</v>
      </c>
      <c r="AY177" s="6" t="s">
        <v>163</v>
      </c>
      <c r="BE177" s="82">
        <f>IF($U$177="základní",$N$177,0)</f>
        <v>0</v>
      </c>
      <c r="BF177" s="82">
        <f>IF($U$177="snížená",$N$177,0)</f>
        <v>0</v>
      </c>
      <c r="BG177" s="82">
        <f>IF($U$177="zákl. přenesená",$N$177,0)</f>
        <v>0</v>
      </c>
      <c r="BH177" s="82">
        <f>IF($U$177="sníž. přenesená",$N$177,0)</f>
        <v>0</v>
      </c>
      <c r="BI177" s="82">
        <f>IF($U$177="nulová",$N$177,0)</f>
        <v>0</v>
      </c>
      <c r="BJ177" s="6" t="s">
        <v>141</v>
      </c>
      <c r="BK177" s="82">
        <f>ROUND($L$177*$K$177,2)</f>
        <v>0</v>
      </c>
      <c r="BL177" s="6" t="s">
        <v>219</v>
      </c>
    </row>
    <row r="178" spans="2:51" s="6" customFormat="1" ht="15.75" customHeight="1">
      <c r="B178" s="130"/>
      <c r="E178" s="131"/>
      <c r="F178" s="209" t="s">
        <v>422</v>
      </c>
      <c r="G178" s="210"/>
      <c r="H178" s="210"/>
      <c r="I178" s="210"/>
      <c r="K178" s="132">
        <v>14.848</v>
      </c>
      <c r="R178" s="133"/>
      <c r="T178" s="134"/>
      <c r="AA178" s="135"/>
      <c r="AT178" s="131" t="s">
        <v>173</v>
      </c>
      <c r="AU178" s="131" t="s">
        <v>141</v>
      </c>
      <c r="AV178" s="131" t="s">
        <v>141</v>
      </c>
      <c r="AW178" s="131" t="s">
        <v>125</v>
      </c>
      <c r="AX178" s="131" t="s">
        <v>17</v>
      </c>
      <c r="AY178" s="131" t="s">
        <v>163</v>
      </c>
    </row>
    <row r="179" spans="2:64" s="6" customFormat="1" ht="39" customHeight="1">
      <c r="B179" s="21"/>
      <c r="C179" s="123" t="s">
        <v>241</v>
      </c>
      <c r="D179" s="123" t="s">
        <v>164</v>
      </c>
      <c r="E179" s="124" t="s">
        <v>280</v>
      </c>
      <c r="F179" s="205" t="s">
        <v>281</v>
      </c>
      <c r="G179" s="206"/>
      <c r="H179" s="206"/>
      <c r="I179" s="206"/>
      <c r="J179" s="125" t="s">
        <v>171</v>
      </c>
      <c r="K179" s="126">
        <v>20.948</v>
      </c>
      <c r="L179" s="207">
        <v>0</v>
      </c>
      <c r="M179" s="206"/>
      <c r="N179" s="208">
        <f>ROUND($L$179*$K$179,2)</f>
        <v>0</v>
      </c>
      <c r="O179" s="206"/>
      <c r="P179" s="206"/>
      <c r="Q179" s="206"/>
      <c r="R179" s="22"/>
      <c r="T179" s="127"/>
      <c r="U179" s="28" t="s">
        <v>42</v>
      </c>
      <c r="V179" s="128">
        <v>0.506</v>
      </c>
      <c r="W179" s="128">
        <f>$V$179*$K$179</f>
        <v>10.599688</v>
      </c>
      <c r="X179" s="128">
        <v>0.00032</v>
      </c>
      <c r="Y179" s="128">
        <f>$X$179*$K$179</f>
        <v>0.006703360000000001</v>
      </c>
      <c r="Z179" s="128">
        <v>0</v>
      </c>
      <c r="AA179" s="129">
        <f>$Z$179*$K$179</f>
        <v>0</v>
      </c>
      <c r="AR179" s="6" t="s">
        <v>219</v>
      </c>
      <c r="AT179" s="6" t="s">
        <v>164</v>
      </c>
      <c r="AU179" s="6" t="s">
        <v>141</v>
      </c>
      <c r="AY179" s="6" t="s">
        <v>163</v>
      </c>
      <c r="BE179" s="82">
        <f>IF($U$179="základní",$N$179,0)</f>
        <v>0</v>
      </c>
      <c r="BF179" s="82">
        <f>IF($U$179="snížená",$N$179,0)</f>
        <v>0</v>
      </c>
      <c r="BG179" s="82">
        <f>IF($U$179="zákl. přenesená",$N$179,0)</f>
        <v>0</v>
      </c>
      <c r="BH179" s="82">
        <f>IF($U$179="sníž. přenesená",$N$179,0)</f>
        <v>0</v>
      </c>
      <c r="BI179" s="82">
        <f>IF($U$179="nulová",$N$179,0)</f>
        <v>0</v>
      </c>
      <c r="BJ179" s="6" t="s">
        <v>141</v>
      </c>
      <c r="BK179" s="82">
        <f>ROUND($L$179*$K$179,2)</f>
        <v>0</v>
      </c>
      <c r="BL179" s="6" t="s">
        <v>219</v>
      </c>
    </row>
    <row r="180" spans="2:64" s="6" customFormat="1" ht="15.75" customHeight="1">
      <c r="B180" s="21"/>
      <c r="C180" s="123" t="s">
        <v>245</v>
      </c>
      <c r="D180" s="123" t="s">
        <v>164</v>
      </c>
      <c r="E180" s="124" t="s">
        <v>283</v>
      </c>
      <c r="F180" s="205" t="s">
        <v>284</v>
      </c>
      <c r="G180" s="206"/>
      <c r="H180" s="206"/>
      <c r="I180" s="206"/>
      <c r="J180" s="125" t="s">
        <v>171</v>
      </c>
      <c r="K180" s="126">
        <v>14.848</v>
      </c>
      <c r="L180" s="207">
        <v>0</v>
      </c>
      <c r="M180" s="206"/>
      <c r="N180" s="208">
        <f>ROUND($L$180*$K$180,2)</f>
        <v>0</v>
      </c>
      <c r="O180" s="206"/>
      <c r="P180" s="206"/>
      <c r="Q180" s="206"/>
      <c r="R180" s="22"/>
      <c r="T180" s="127"/>
      <c r="U180" s="28" t="s">
        <v>42</v>
      </c>
      <c r="V180" s="128">
        <v>0.144</v>
      </c>
      <c r="W180" s="128">
        <f>$V$180*$K$180</f>
        <v>2.138112</v>
      </c>
      <c r="X180" s="128">
        <v>6E-05</v>
      </c>
      <c r="Y180" s="128">
        <f>$X$180*$K$180</f>
        <v>0.00089088</v>
      </c>
      <c r="Z180" s="128">
        <v>0</v>
      </c>
      <c r="AA180" s="129">
        <f>$Z$180*$K$180</f>
        <v>0</v>
      </c>
      <c r="AR180" s="6" t="s">
        <v>219</v>
      </c>
      <c r="AT180" s="6" t="s">
        <v>164</v>
      </c>
      <c r="AU180" s="6" t="s">
        <v>141</v>
      </c>
      <c r="AY180" s="6" t="s">
        <v>163</v>
      </c>
      <c r="BE180" s="82">
        <f>IF($U$180="základní",$N$180,0)</f>
        <v>0</v>
      </c>
      <c r="BF180" s="82">
        <f>IF($U$180="snížená",$N$180,0)</f>
        <v>0</v>
      </c>
      <c r="BG180" s="82">
        <f>IF($U$180="zákl. přenesená",$N$180,0)</f>
        <v>0</v>
      </c>
      <c r="BH180" s="82">
        <f>IF($U$180="sníž. přenesená",$N$180,0)</f>
        <v>0</v>
      </c>
      <c r="BI180" s="82">
        <f>IF($U$180="nulová",$N$180,0)</f>
        <v>0</v>
      </c>
      <c r="BJ180" s="6" t="s">
        <v>141</v>
      </c>
      <c r="BK180" s="82">
        <f>ROUND($L$180*$K$180,2)</f>
        <v>0</v>
      </c>
      <c r="BL180" s="6" t="s">
        <v>219</v>
      </c>
    </row>
    <row r="181" spans="2:64" s="6" customFormat="1" ht="15.75" customHeight="1">
      <c r="B181" s="21"/>
      <c r="C181" s="123" t="s">
        <v>248</v>
      </c>
      <c r="D181" s="123" t="s">
        <v>164</v>
      </c>
      <c r="E181" s="124" t="s">
        <v>288</v>
      </c>
      <c r="F181" s="205" t="s">
        <v>289</v>
      </c>
      <c r="G181" s="206"/>
      <c r="H181" s="206"/>
      <c r="I181" s="206"/>
      <c r="J181" s="125" t="s">
        <v>171</v>
      </c>
      <c r="K181" s="126">
        <v>20.948</v>
      </c>
      <c r="L181" s="207">
        <v>0</v>
      </c>
      <c r="M181" s="206"/>
      <c r="N181" s="208">
        <f>ROUND($L$181*$K$181,2)</f>
        <v>0</v>
      </c>
      <c r="O181" s="206"/>
      <c r="P181" s="206"/>
      <c r="Q181" s="206"/>
      <c r="R181" s="22"/>
      <c r="T181" s="127"/>
      <c r="U181" s="28" t="s">
        <v>42</v>
      </c>
      <c r="V181" s="128">
        <v>0.063</v>
      </c>
      <c r="W181" s="128">
        <f>$V$181*$K$181</f>
        <v>1.3197240000000001</v>
      </c>
      <c r="X181" s="128">
        <v>5E-05</v>
      </c>
      <c r="Y181" s="128">
        <f>$X$181*$K$181</f>
        <v>0.0010474</v>
      </c>
      <c r="Z181" s="128">
        <v>0</v>
      </c>
      <c r="AA181" s="129">
        <f>$Z$181*$K$181</f>
        <v>0</v>
      </c>
      <c r="AR181" s="6" t="s">
        <v>219</v>
      </c>
      <c r="AT181" s="6" t="s">
        <v>164</v>
      </c>
      <c r="AU181" s="6" t="s">
        <v>141</v>
      </c>
      <c r="AY181" s="6" t="s">
        <v>163</v>
      </c>
      <c r="BE181" s="82">
        <f>IF($U$181="základní",$N$181,0)</f>
        <v>0</v>
      </c>
      <c r="BF181" s="82">
        <f>IF($U$181="snížená",$N$181,0)</f>
        <v>0</v>
      </c>
      <c r="BG181" s="82">
        <f>IF($U$181="zákl. přenesená",$N$181,0)</f>
        <v>0</v>
      </c>
      <c r="BH181" s="82">
        <f>IF($U$181="sníž. přenesená",$N$181,0)</f>
        <v>0</v>
      </c>
      <c r="BI181" s="82">
        <f>IF($U$181="nulová",$N$181,0)</f>
        <v>0</v>
      </c>
      <c r="BJ181" s="6" t="s">
        <v>141</v>
      </c>
      <c r="BK181" s="82">
        <f>ROUND($L$181*$K$181,2)</f>
        <v>0</v>
      </c>
      <c r="BL181" s="6" t="s">
        <v>219</v>
      </c>
    </row>
    <row r="182" spans="2:63" s="113" customFormat="1" ht="30.75" customHeight="1">
      <c r="B182" s="114"/>
      <c r="D182" s="122" t="s">
        <v>136</v>
      </c>
      <c r="N182" s="223">
        <f>$BK$182</f>
        <v>0</v>
      </c>
      <c r="O182" s="222"/>
      <c r="P182" s="222"/>
      <c r="Q182" s="222"/>
      <c r="R182" s="117"/>
      <c r="T182" s="118"/>
      <c r="W182" s="119">
        <f>SUM($W$183:$W$198)</f>
        <v>83.87621100000001</v>
      </c>
      <c r="Y182" s="119">
        <f>SUM($Y$183:$Y$198)</f>
        <v>0.23736664999999998</v>
      </c>
      <c r="AA182" s="120">
        <f>SUM($AA$183:$AA$198)</f>
        <v>0.08795339999999999</v>
      </c>
      <c r="AR182" s="116" t="s">
        <v>141</v>
      </c>
      <c r="AT182" s="116" t="s">
        <v>74</v>
      </c>
      <c r="AU182" s="116" t="s">
        <v>17</v>
      </c>
      <c r="AY182" s="116" t="s">
        <v>163</v>
      </c>
      <c r="BK182" s="121">
        <f>SUM($BK$183:$BK$198)</f>
        <v>0</v>
      </c>
    </row>
    <row r="183" spans="2:64" s="6" customFormat="1" ht="27" customHeight="1">
      <c r="B183" s="21"/>
      <c r="C183" s="123" t="s">
        <v>251</v>
      </c>
      <c r="D183" s="123" t="s">
        <v>164</v>
      </c>
      <c r="E183" s="124" t="s">
        <v>292</v>
      </c>
      <c r="F183" s="205" t="s">
        <v>293</v>
      </c>
      <c r="G183" s="206"/>
      <c r="H183" s="206"/>
      <c r="I183" s="206"/>
      <c r="J183" s="125" t="s">
        <v>171</v>
      </c>
      <c r="K183" s="126">
        <v>586.356</v>
      </c>
      <c r="L183" s="207">
        <v>0</v>
      </c>
      <c r="M183" s="206"/>
      <c r="N183" s="208">
        <f>ROUND($L$183*$K$183,2)</f>
        <v>0</v>
      </c>
      <c r="O183" s="206"/>
      <c r="P183" s="206"/>
      <c r="Q183" s="206"/>
      <c r="R183" s="22"/>
      <c r="T183" s="127"/>
      <c r="U183" s="28" t="s">
        <v>42</v>
      </c>
      <c r="V183" s="128">
        <v>0.035</v>
      </c>
      <c r="W183" s="128">
        <f>$V$183*$K$183</f>
        <v>20.522460000000002</v>
      </c>
      <c r="X183" s="128">
        <v>0</v>
      </c>
      <c r="Y183" s="128">
        <f>$X$183*$K$183</f>
        <v>0</v>
      </c>
      <c r="Z183" s="128">
        <v>0.00015</v>
      </c>
      <c r="AA183" s="129">
        <f>$Z$183*$K$183</f>
        <v>0.08795339999999999</v>
      </c>
      <c r="AR183" s="6" t="s">
        <v>219</v>
      </c>
      <c r="AT183" s="6" t="s">
        <v>164</v>
      </c>
      <c r="AU183" s="6" t="s">
        <v>141</v>
      </c>
      <c r="AY183" s="6" t="s">
        <v>163</v>
      </c>
      <c r="BE183" s="82">
        <f>IF($U$183="základní",$N$183,0)</f>
        <v>0</v>
      </c>
      <c r="BF183" s="82">
        <f>IF($U$183="snížená",$N$183,0)</f>
        <v>0</v>
      </c>
      <c r="BG183" s="82">
        <f>IF($U$183="zákl. přenesená",$N$183,0)</f>
        <v>0</v>
      </c>
      <c r="BH183" s="82">
        <f>IF($U$183="sníž. přenesená",$N$183,0)</f>
        <v>0</v>
      </c>
      <c r="BI183" s="82">
        <f>IF($U$183="nulová",$N$183,0)</f>
        <v>0</v>
      </c>
      <c r="BJ183" s="6" t="s">
        <v>141</v>
      </c>
      <c r="BK183" s="82">
        <f>ROUND($L$183*$K$183,2)</f>
        <v>0</v>
      </c>
      <c r="BL183" s="6" t="s">
        <v>219</v>
      </c>
    </row>
    <row r="184" spans="2:51" s="6" customFormat="1" ht="27" customHeight="1">
      <c r="B184" s="130"/>
      <c r="E184" s="131"/>
      <c r="F184" s="209" t="s">
        <v>295</v>
      </c>
      <c r="G184" s="210"/>
      <c r="H184" s="210"/>
      <c r="I184" s="210"/>
      <c r="K184" s="132">
        <v>112.84</v>
      </c>
      <c r="R184" s="133"/>
      <c r="T184" s="134"/>
      <c r="AA184" s="135"/>
      <c r="AT184" s="131" t="s">
        <v>173</v>
      </c>
      <c r="AU184" s="131" t="s">
        <v>141</v>
      </c>
      <c r="AV184" s="131" t="s">
        <v>141</v>
      </c>
      <c r="AW184" s="131" t="s">
        <v>125</v>
      </c>
      <c r="AX184" s="131" t="s">
        <v>75</v>
      </c>
      <c r="AY184" s="131" t="s">
        <v>163</v>
      </c>
    </row>
    <row r="185" spans="2:51" s="6" customFormat="1" ht="27" customHeight="1">
      <c r="B185" s="130"/>
      <c r="E185" s="131"/>
      <c r="F185" s="209" t="s">
        <v>294</v>
      </c>
      <c r="G185" s="210"/>
      <c r="H185" s="210"/>
      <c r="I185" s="210"/>
      <c r="K185" s="132">
        <v>345.52</v>
      </c>
      <c r="R185" s="133"/>
      <c r="T185" s="134"/>
      <c r="AA185" s="135"/>
      <c r="AT185" s="131" t="s">
        <v>173</v>
      </c>
      <c r="AU185" s="131" t="s">
        <v>141</v>
      </c>
      <c r="AV185" s="131" t="s">
        <v>141</v>
      </c>
      <c r="AW185" s="131" t="s">
        <v>125</v>
      </c>
      <c r="AX185" s="131" t="s">
        <v>75</v>
      </c>
      <c r="AY185" s="131" t="s">
        <v>163</v>
      </c>
    </row>
    <row r="186" spans="2:51" s="6" customFormat="1" ht="27" customHeight="1">
      <c r="B186" s="130"/>
      <c r="E186" s="131"/>
      <c r="F186" s="209" t="s">
        <v>423</v>
      </c>
      <c r="G186" s="210"/>
      <c r="H186" s="210"/>
      <c r="I186" s="210"/>
      <c r="K186" s="132">
        <v>50.146</v>
      </c>
      <c r="R186" s="133"/>
      <c r="T186" s="134"/>
      <c r="AA186" s="135"/>
      <c r="AT186" s="131" t="s">
        <v>173</v>
      </c>
      <c r="AU186" s="131" t="s">
        <v>141</v>
      </c>
      <c r="AV186" s="131" t="s">
        <v>141</v>
      </c>
      <c r="AW186" s="131" t="s">
        <v>125</v>
      </c>
      <c r="AX186" s="131" t="s">
        <v>75</v>
      </c>
      <c r="AY186" s="131" t="s">
        <v>163</v>
      </c>
    </row>
    <row r="187" spans="2:51" s="6" customFormat="1" ht="27" customHeight="1">
      <c r="B187" s="130"/>
      <c r="E187" s="131"/>
      <c r="F187" s="209" t="s">
        <v>424</v>
      </c>
      <c r="G187" s="210"/>
      <c r="H187" s="210"/>
      <c r="I187" s="210"/>
      <c r="K187" s="132">
        <v>77.85</v>
      </c>
      <c r="R187" s="133"/>
      <c r="T187" s="134"/>
      <c r="AA187" s="135"/>
      <c r="AT187" s="131" t="s">
        <v>173</v>
      </c>
      <c r="AU187" s="131" t="s">
        <v>141</v>
      </c>
      <c r="AV187" s="131" t="s">
        <v>141</v>
      </c>
      <c r="AW187" s="131" t="s">
        <v>125</v>
      </c>
      <c r="AX187" s="131" t="s">
        <v>75</v>
      </c>
      <c r="AY187" s="131" t="s">
        <v>163</v>
      </c>
    </row>
    <row r="188" spans="2:51" s="6" customFormat="1" ht="15.75" customHeight="1">
      <c r="B188" s="141"/>
      <c r="E188" s="142"/>
      <c r="F188" s="215" t="s">
        <v>286</v>
      </c>
      <c r="G188" s="216"/>
      <c r="H188" s="216"/>
      <c r="I188" s="216"/>
      <c r="K188" s="143">
        <v>586.356</v>
      </c>
      <c r="R188" s="144"/>
      <c r="T188" s="145"/>
      <c r="AA188" s="146"/>
      <c r="AT188" s="142" t="s">
        <v>173</v>
      </c>
      <c r="AU188" s="142" t="s">
        <v>141</v>
      </c>
      <c r="AV188" s="142" t="s">
        <v>168</v>
      </c>
      <c r="AW188" s="142" t="s">
        <v>125</v>
      </c>
      <c r="AX188" s="142" t="s">
        <v>17</v>
      </c>
      <c r="AY188" s="142" t="s">
        <v>163</v>
      </c>
    </row>
    <row r="189" spans="2:64" s="6" customFormat="1" ht="27" customHeight="1">
      <c r="B189" s="21"/>
      <c r="C189" s="123" t="s">
        <v>254</v>
      </c>
      <c r="D189" s="123" t="s">
        <v>164</v>
      </c>
      <c r="E189" s="124" t="s">
        <v>299</v>
      </c>
      <c r="F189" s="205" t="s">
        <v>300</v>
      </c>
      <c r="G189" s="206"/>
      <c r="H189" s="206"/>
      <c r="I189" s="206"/>
      <c r="J189" s="125" t="s">
        <v>171</v>
      </c>
      <c r="K189" s="126">
        <v>79.808</v>
      </c>
      <c r="L189" s="207">
        <v>0</v>
      </c>
      <c r="M189" s="206"/>
      <c r="N189" s="208">
        <f>ROUND($L$189*$K$189,2)</f>
        <v>0</v>
      </c>
      <c r="O189" s="206"/>
      <c r="P189" s="206"/>
      <c r="Q189" s="206"/>
      <c r="R189" s="22"/>
      <c r="T189" s="127"/>
      <c r="U189" s="28" t="s">
        <v>42</v>
      </c>
      <c r="V189" s="128">
        <v>0.016</v>
      </c>
      <c r="W189" s="128">
        <f>$V$189*$K$189</f>
        <v>1.276928</v>
      </c>
      <c r="X189" s="128">
        <v>0</v>
      </c>
      <c r="Y189" s="128">
        <f>$X$189*$K$189</f>
        <v>0</v>
      </c>
      <c r="Z189" s="128">
        <v>0</v>
      </c>
      <c r="AA189" s="129">
        <f>$Z$189*$K$189</f>
        <v>0</v>
      </c>
      <c r="AR189" s="6" t="s">
        <v>219</v>
      </c>
      <c r="AT189" s="6" t="s">
        <v>164</v>
      </c>
      <c r="AU189" s="6" t="s">
        <v>141</v>
      </c>
      <c r="AY189" s="6" t="s">
        <v>163</v>
      </c>
      <c r="BE189" s="82">
        <f>IF($U$189="základní",$N$189,0)</f>
        <v>0</v>
      </c>
      <c r="BF189" s="82">
        <f>IF($U$189="snížená",$N$189,0)</f>
        <v>0</v>
      </c>
      <c r="BG189" s="82">
        <f>IF($U$189="zákl. přenesená",$N$189,0)</f>
        <v>0</v>
      </c>
      <c r="BH189" s="82">
        <f>IF($U$189="sníž. přenesená",$N$189,0)</f>
        <v>0</v>
      </c>
      <c r="BI189" s="82">
        <f>IF($U$189="nulová",$N$189,0)</f>
        <v>0</v>
      </c>
      <c r="BJ189" s="6" t="s">
        <v>141</v>
      </c>
      <c r="BK189" s="82">
        <f>ROUND($L$189*$K$189,2)</f>
        <v>0</v>
      </c>
      <c r="BL189" s="6" t="s">
        <v>219</v>
      </c>
    </row>
    <row r="190" spans="2:51" s="6" customFormat="1" ht="15.75" customHeight="1">
      <c r="B190" s="130"/>
      <c r="E190" s="131"/>
      <c r="F190" s="209" t="s">
        <v>425</v>
      </c>
      <c r="G190" s="210"/>
      <c r="H190" s="210"/>
      <c r="I190" s="210"/>
      <c r="K190" s="132">
        <v>75.308</v>
      </c>
      <c r="R190" s="133"/>
      <c r="T190" s="134"/>
      <c r="AA190" s="135"/>
      <c r="AT190" s="131" t="s">
        <v>173</v>
      </c>
      <c r="AU190" s="131" t="s">
        <v>141</v>
      </c>
      <c r="AV190" s="131" t="s">
        <v>141</v>
      </c>
      <c r="AW190" s="131" t="s">
        <v>125</v>
      </c>
      <c r="AX190" s="131" t="s">
        <v>75</v>
      </c>
      <c r="AY190" s="131" t="s">
        <v>163</v>
      </c>
    </row>
    <row r="191" spans="2:51" s="6" customFormat="1" ht="15.75" customHeight="1">
      <c r="B191" s="130"/>
      <c r="E191" s="131"/>
      <c r="F191" s="209" t="s">
        <v>426</v>
      </c>
      <c r="G191" s="210"/>
      <c r="H191" s="210"/>
      <c r="I191" s="210"/>
      <c r="K191" s="132">
        <v>4.5</v>
      </c>
      <c r="R191" s="133"/>
      <c r="T191" s="134"/>
      <c r="AA191" s="135"/>
      <c r="AT191" s="131" t="s">
        <v>173</v>
      </c>
      <c r="AU191" s="131" t="s">
        <v>141</v>
      </c>
      <c r="AV191" s="131" t="s">
        <v>141</v>
      </c>
      <c r="AW191" s="131" t="s">
        <v>125</v>
      </c>
      <c r="AX191" s="131" t="s">
        <v>75</v>
      </c>
      <c r="AY191" s="131" t="s">
        <v>163</v>
      </c>
    </row>
    <row r="192" spans="2:51" s="6" customFormat="1" ht="15.75" customHeight="1">
      <c r="B192" s="141"/>
      <c r="E192" s="142"/>
      <c r="F192" s="215" t="s">
        <v>286</v>
      </c>
      <c r="G192" s="216"/>
      <c r="H192" s="216"/>
      <c r="I192" s="216"/>
      <c r="K192" s="143">
        <v>79.808</v>
      </c>
      <c r="R192" s="144"/>
      <c r="T192" s="145"/>
      <c r="AA192" s="146"/>
      <c r="AT192" s="142" t="s">
        <v>173</v>
      </c>
      <c r="AU192" s="142" t="s">
        <v>141</v>
      </c>
      <c r="AV192" s="142" t="s">
        <v>168</v>
      </c>
      <c r="AW192" s="142" t="s">
        <v>125</v>
      </c>
      <c r="AX192" s="142" t="s">
        <v>17</v>
      </c>
      <c r="AY192" s="142" t="s">
        <v>163</v>
      </c>
    </row>
    <row r="193" spans="2:64" s="6" customFormat="1" ht="27" customHeight="1">
      <c r="B193" s="21"/>
      <c r="C193" s="136" t="s">
        <v>257</v>
      </c>
      <c r="D193" s="136" t="s">
        <v>190</v>
      </c>
      <c r="E193" s="137" t="s">
        <v>302</v>
      </c>
      <c r="F193" s="211" t="s">
        <v>303</v>
      </c>
      <c r="G193" s="212"/>
      <c r="H193" s="212"/>
      <c r="I193" s="212"/>
      <c r="J193" s="138" t="s">
        <v>171</v>
      </c>
      <c r="K193" s="139">
        <v>83.798</v>
      </c>
      <c r="L193" s="213">
        <v>0</v>
      </c>
      <c r="M193" s="212"/>
      <c r="N193" s="214">
        <f>ROUND($L$193*$K$193,2)</f>
        <v>0</v>
      </c>
      <c r="O193" s="206"/>
      <c r="P193" s="206"/>
      <c r="Q193" s="206"/>
      <c r="R193" s="22"/>
      <c r="T193" s="127"/>
      <c r="U193" s="28" t="s">
        <v>42</v>
      </c>
      <c r="V193" s="128">
        <v>0</v>
      </c>
      <c r="W193" s="128">
        <f>$V$193*$K$193</f>
        <v>0</v>
      </c>
      <c r="X193" s="128">
        <v>0</v>
      </c>
      <c r="Y193" s="128">
        <f>$X$193*$K$193</f>
        <v>0</v>
      </c>
      <c r="Z193" s="128">
        <v>0</v>
      </c>
      <c r="AA193" s="129">
        <f>$Z$193*$K$193</f>
        <v>0</v>
      </c>
      <c r="AR193" s="6" t="s">
        <v>263</v>
      </c>
      <c r="AT193" s="6" t="s">
        <v>190</v>
      </c>
      <c r="AU193" s="6" t="s">
        <v>141</v>
      </c>
      <c r="AY193" s="6" t="s">
        <v>163</v>
      </c>
      <c r="BE193" s="82">
        <f>IF($U$193="základní",$N$193,0)</f>
        <v>0</v>
      </c>
      <c r="BF193" s="82">
        <f>IF($U$193="snížená",$N$193,0)</f>
        <v>0</v>
      </c>
      <c r="BG193" s="82">
        <f>IF($U$193="zákl. přenesená",$N$193,0)</f>
        <v>0</v>
      </c>
      <c r="BH193" s="82">
        <f>IF($U$193="sníž. přenesená",$N$193,0)</f>
        <v>0</v>
      </c>
      <c r="BI193" s="82">
        <f>IF($U$193="nulová",$N$193,0)</f>
        <v>0</v>
      </c>
      <c r="BJ193" s="6" t="s">
        <v>141</v>
      </c>
      <c r="BK193" s="82">
        <f>ROUND($L$193*$K$193,2)</f>
        <v>0</v>
      </c>
      <c r="BL193" s="6" t="s">
        <v>219</v>
      </c>
    </row>
    <row r="194" spans="2:64" s="6" customFormat="1" ht="27" customHeight="1">
      <c r="B194" s="21"/>
      <c r="C194" s="123" t="s">
        <v>260</v>
      </c>
      <c r="D194" s="123" t="s">
        <v>164</v>
      </c>
      <c r="E194" s="124" t="s">
        <v>305</v>
      </c>
      <c r="F194" s="205" t="s">
        <v>306</v>
      </c>
      <c r="G194" s="206"/>
      <c r="H194" s="206"/>
      <c r="I194" s="206"/>
      <c r="J194" s="125" t="s">
        <v>171</v>
      </c>
      <c r="K194" s="126">
        <v>716.538</v>
      </c>
      <c r="L194" s="207">
        <v>0</v>
      </c>
      <c r="M194" s="206"/>
      <c r="N194" s="208">
        <f>ROUND($L$194*$K$194,2)</f>
        <v>0</v>
      </c>
      <c r="O194" s="206"/>
      <c r="P194" s="206"/>
      <c r="Q194" s="206"/>
      <c r="R194" s="22"/>
      <c r="T194" s="127"/>
      <c r="U194" s="28" t="s">
        <v>42</v>
      </c>
      <c r="V194" s="128">
        <v>0.033</v>
      </c>
      <c r="W194" s="128">
        <f>$V$194*$K$194</f>
        <v>23.645754</v>
      </c>
      <c r="X194" s="128">
        <v>0.0002</v>
      </c>
      <c r="Y194" s="128">
        <f>$X$194*$K$194</f>
        <v>0.1433076</v>
      </c>
      <c r="Z194" s="128">
        <v>0</v>
      </c>
      <c r="AA194" s="129">
        <f>$Z$194*$K$194</f>
        <v>0</v>
      </c>
      <c r="AR194" s="6" t="s">
        <v>219</v>
      </c>
      <c r="AT194" s="6" t="s">
        <v>164</v>
      </c>
      <c r="AU194" s="6" t="s">
        <v>141</v>
      </c>
      <c r="AY194" s="6" t="s">
        <v>163</v>
      </c>
      <c r="BE194" s="82">
        <f>IF($U$194="základní",$N$194,0)</f>
        <v>0</v>
      </c>
      <c r="BF194" s="82">
        <f>IF($U$194="snížená",$N$194,0)</f>
        <v>0</v>
      </c>
      <c r="BG194" s="82">
        <f>IF($U$194="zákl. přenesená",$N$194,0)</f>
        <v>0</v>
      </c>
      <c r="BH194" s="82">
        <f>IF($U$194="sníž. přenesená",$N$194,0)</f>
        <v>0</v>
      </c>
      <c r="BI194" s="82">
        <f>IF($U$194="nulová",$N$194,0)</f>
        <v>0</v>
      </c>
      <c r="BJ194" s="6" t="s">
        <v>141</v>
      </c>
      <c r="BK194" s="82">
        <f>ROUND($L$194*$K$194,2)</f>
        <v>0</v>
      </c>
      <c r="BL194" s="6" t="s">
        <v>219</v>
      </c>
    </row>
    <row r="195" spans="2:51" s="6" customFormat="1" ht="15.75" customHeight="1">
      <c r="B195" s="130"/>
      <c r="E195" s="131"/>
      <c r="F195" s="209" t="s">
        <v>427</v>
      </c>
      <c r="G195" s="210"/>
      <c r="H195" s="210"/>
      <c r="I195" s="210"/>
      <c r="K195" s="132">
        <v>716.538</v>
      </c>
      <c r="R195" s="133"/>
      <c r="T195" s="134"/>
      <c r="AA195" s="135"/>
      <c r="AT195" s="131" t="s">
        <v>173</v>
      </c>
      <c r="AU195" s="131" t="s">
        <v>141</v>
      </c>
      <c r="AV195" s="131" t="s">
        <v>141</v>
      </c>
      <c r="AW195" s="131" t="s">
        <v>125</v>
      </c>
      <c r="AX195" s="131" t="s">
        <v>75</v>
      </c>
      <c r="AY195" s="131" t="s">
        <v>163</v>
      </c>
    </row>
    <row r="196" spans="2:51" s="6" customFormat="1" ht="15.75" customHeight="1">
      <c r="B196" s="141"/>
      <c r="E196" s="142"/>
      <c r="F196" s="215" t="s">
        <v>286</v>
      </c>
      <c r="G196" s="216"/>
      <c r="H196" s="216"/>
      <c r="I196" s="216"/>
      <c r="K196" s="143">
        <v>716.538</v>
      </c>
      <c r="R196" s="144"/>
      <c r="T196" s="145"/>
      <c r="AA196" s="146"/>
      <c r="AT196" s="142" t="s">
        <v>173</v>
      </c>
      <c r="AU196" s="142" t="s">
        <v>141</v>
      </c>
      <c r="AV196" s="142" t="s">
        <v>168</v>
      </c>
      <c r="AW196" s="142" t="s">
        <v>125</v>
      </c>
      <c r="AX196" s="142" t="s">
        <v>17</v>
      </c>
      <c r="AY196" s="142" t="s">
        <v>163</v>
      </c>
    </row>
    <row r="197" spans="2:64" s="6" customFormat="1" ht="27" customHeight="1">
      <c r="B197" s="21"/>
      <c r="C197" s="123" t="s">
        <v>264</v>
      </c>
      <c r="D197" s="123" t="s">
        <v>164</v>
      </c>
      <c r="E197" s="124" t="s">
        <v>308</v>
      </c>
      <c r="F197" s="205" t="s">
        <v>309</v>
      </c>
      <c r="G197" s="206"/>
      <c r="H197" s="206"/>
      <c r="I197" s="206"/>
      <c r="J197" s="125" t="s">
        <v>171</v>
      </c>
      <c r="K197" s="126">
        <v>90.911</v>
      </c>
      <c r="L197" s="207">
        <v>0</v>
      </c>
      <c r="M197" s="206"/>
      <c r="N197" s="208">
        <f>ROUND($L$197*$K$197,2)</f>
        <v>0</v>
      </c>
      <c r="O197" s="206"/>
      <c r="P197" s="206"/>
      <c r="Q197" s="206"/>
      <c r="R197" s="22"/>
      <c r="T197" s="127"/>
      <c r="U197" s="28" t="s">
        <v>42</v>
      </c>
      <c r="V197" s="128">
        <v>0.005</v>
      </c>
      <c r="W197" s="128">
        <f>$V$197*$K$197</f>
        <v>0.45455500000000004</v>
      </c>
      <c r="X197" s="128">
        <v>1E-05</v>
      </c>
      <c r="Y197" s="128">
        <f>$X$197*$K$197</f>
        <v>0.0009091100000000001</v>
      </c>
      <c r="Z197" s="128">
        <v>0</v>
      </c>
      <c r="AA197" s="129">
        <f>$Z$197*$K$197</f>
        <v>0</v>
      </c>
      <c r="AR197" s="6" t="s">
        <v>219</v>
      </c>
      <c r="AT197" s="6" t="s">
        <v>164</v>
      </c>
      <c r="AU197" s="6" t="s">
        <v>141</v>
      </c>
      <c r="AY197" s="6" t="s">
        <v>163</v>
      </c>
      <c r="BE197" s="82">
        <f>IF($U$197="základní",$N$197,0)</f>
        <v>0</v>
      </c>
      <c r="BF197" s="82">
        <f>IF($U$197="snížená",$N$197,0)</f>
        <v>0</v>
      </c>
      <c r="BG197" s="82">
        <f>IF($U$197="zákl. přenesená",$N$197,0)</f>
        <v>0</v>
      </c>
      <c r="BH197" s="82">
        <f>IF($U$197="sníž. přenesená",$N$197,0)</f>
        <v>0</v>
      </c>
      <c r="BI197" s="82">
        <f>IF($U$197="nulová",$N$197,0)</f>
        <v>0</v>
      </c>
      <c r="BJ197" s="6" t="s">
        <v>141</v>
      </c>
      <c r="BK197" s="82">
        <f>ROUND($L$197*$K$197,2)</f>
        <v>0</v>
      </c>
      <c r="BL197" s="6" t="s">
        <v>219</v>
      </c>
    </row>
    <row r="198" spans="2:64" s="6" customFormat="1" ht="39" customHeight="1">
      <c r="B198" s="21"/>
      <c r="C198" s="123" t="s">
        <v>267</v>
      </c>
      <c r="D198" s="123" t="s">
        <v>164</v>
      </c>
      <c r="E198" s="124" t="s">
        <v>311</v>
      </c>
      <c r="F198" s="205" t="s">
        <v>312</v>
      </c>
      <c r="G198" s="206"/>
      <c r="H198" s="206"/>
      <c r="I198" s="206"/>
      <c r="J198" s="125" t="s">
        <v>171</v>
      </c>
      <c r="K198" s="126">
        <v>716.538</v>
      </c>
      <c r="L198" s="207">
        <v>0</v>
      </c>
      <c r="M198" s="206"/>
      <c r="N198" s="208">
        <f>ROUND($L$198*$K$198,2)</f>
        <v>0</v>
      </c>
      <c r="O198" s="206"/>
      <c r="P198" s="206"/>
      <c r="Q198" s="206"/>
      <c r="R198" s="22"/>
      <c r="T198" s="127"/>
      <c r="U198" s="28" t="s">
        <v>42</v>
      </c>
      <c r="V198" s="128">
        <v>0.053</v>
      </c>
      <c r="W198" s="128">
        <f>$V$198*$K$198</f>
        <v>37.976514</v>
      </c>
      <c r="X198" s="128">
        <v>0.00013</v>
      </c>
      <c r="Y198" s="128">
        <f>$X$198*$K$198</f>
        <v>0.09314993999999999</v>
      </c>
      <c r="Z198" s="128">
        <v>0</v>
      </c>
      <c r="AA198" s="129">
        <f>$Z$198*$K$198</f>
        <v>0</v>
      </c>
      <c r="AR198" s="6" t="s">
        <v>219</v>
      </c>
      <c r="AT198" s="6" t="s">
        <v>164</v>
      </c>
      <c r="AU198" s="6" t="s">
        <v>141</v>
      </c>
      <c r="AY198" s="6" t="s">
        <v>163</v>
      </c>
      <c r="BE198" s="82">
        <f>IF($U$198="základní",$N$198,0)</f>
        <v>0</v>
      </c>
      <c r="BF198" s="82">
        <f>IF($U$198="snížená",$N$198,0)</f>
        <v>0</v>
      </c>
      <c r="BG198" s="82">
        <f>IF($U$198="zákl. přenesená",$N$198,0)</f>
        <v>0</v>
      </c>
      <c r="BH198" s="82">
        <f>IF($U$198="sníž. přenesená",$N$198,0)</f>
        <v>0</v>
      </c>
      <c r="BI198" s="82">
        <f>IF($U$198="nulová",$N$198,0)</f>
        <v>0</v>
      </c>
      <c r="BJ198" s="6" t="s">
        <v>141</v>
      </c>
      <c r="BK198" s="82">
        <f>ROUND($L$198*$K$198,2)</f>
        <v>0</v>
      </c>
      <c r="BL198" s="6" t="s">
        <v>219</v>
      </c>
    </row>
    <row r="199" spans="2:63" s="6" customFormat="1" ht="51" customHeight="1">
      <c r="B199" s="21"/>
      <c r="D199" s="115" t="s">
        <v>313</v>
      </c>
      <c r="N199" s="201">
        <f>$BK$199</f>
        <v>0</v>
      </c>
      <c r="O199" s="161"/>
      <c r="P199" s="161"/>
      <c r="Q199" s="161"/>
      <c r="R199" s="22"/>
      <c r="T199" s="53"/>
      <c r="AA199" s="54"/>
      <c r="AT199" s="6" t="s">
        <v>74</v>
      </c>
      <c r="AU199" s="6" t="s">
        <v>75</v>
      </c>
      <c r="AY199" s="6" t="s">
        <v>314</v>
      </c>
      <c r="BK199" s="82">
        <f>SUM($BK$200:$BK$204)</f>
        <v>0</v>
      </c>
    </row>
    <row r="200" spans="2:63" s="6" customFormat="1" ht="23.25" customHeight="1">
      <c r="B200" s="21"/>
      <c r="C200" s="153"/>
      <c r="D200" s="153" t="s">
        <v>164</v>
      </c>
      <c r="E200" s="154"/>
      <c r="F200" s="219"/>
      <c r="G200" s="220"/>
      <c r="H200" s="220"/>
      <c r="I200" s="220"/>
      <c r="J200" s="155"/>
      <c r="K200" s="140"/>
      <c r="L200" s="207"/>
      <c r="M200" s="206"/>
      <c r="N200" s="208">
        <f>$BK$200</f>
        <v>0</v>
      </c>
      <c r="O200" s="206"/>
      <c r="P200" s="206"/>
      <c r="Q200" s="206"/>
      <c r="R200" s="22"/>
      <c r="T200" s="127"/>
      <c r="U200" s="156" t="s">
        <v>42</v>
      </c>
      <c r="AA200" s="54"/>
      <c r="AT200" s="6" t="s">
        <v>314</v>
      </c>
      <c r="AU200" s="6" t="s">
        <v>17</v>
      </c>
      <c r="AY200" s="6" t="s">
        <v>314</v>
      </c>
      <c r="BE200" s="82">
        <f>IF($U$200="základní",$N$200,0)</f>
        <v>0</v>
      </c>
      <c r="BF200" s="82">
        <f>IF($U$200="snížená",$N$200,0)</f>
        <v>0</v>
      </c>
      <c r="BG200" s="82">
        <f>IF($U$200="zákl. přenesená",$N$200,0)</f>
        <v>0</v>
      </c>
      <c r="BH200" s="82">
        <f>IF($U$200="sníž. přenesená",$N$200,0)</f>
        <v>0</v>
      </c>
      <c r="BI200" s="82">
        <f>IF($U$200="nulová",$N$200,0)</f>
        <v>0</v>
      </c>
      <c r="BJ200" s="6" t="s">
        <v>141</v>
      </c>
      <c r="BK200" s="82">
        <f>$L$200*$K$200</f>
        <v>0</v>
      </c>
    </row>
    <row r="201" spans="2:63" s="6" customFormat="1" ht="23.25" customHeight="1">
      <c r="B201" s="21"/>
      <c r="C201" s="153"/>
      <c r="D201" s="153" t="s">
        <v>164</v>
      </c>
      <c r="E201" s="154"/>
      <c r="F201" s="219"/>
      <c r="G201" s="220"/>
      <c r="H201" s="220"/>
      <c r="I201" s="220"/>
      <c r="J201" s="155"/>
      <c r="K201" s="140"/>
      <c r="L201" s="207"/>
      <c r="M201" s="206"/>
      <c r="N201" s="208">
        <f>$BK$201</f>
        <v>0</v>
      </c>
      <c r="O201" s="206"/>
      <c r="P201" s="206"/>
      <c r="Q201" s="206"/>
      <c r="R201" s="22"/>
      <c r="T201" s="127"/>
      <c r="U201" s="156" t="s">
        <v>42</v>
      </c>
      <c r="AA201" s="54"/>
      <c r="AT201" s="6" t="s">
        <v>314</v>
      </c>
      <c r="AU201" s="6" t="s">
        <v>17</v>
      </c>
      <c r="AY201" s="6" t="s">
        <v>314</v>
      </c>
      <c r="BE201" s="82">
        <f>IF($U$201="základní",$N$201,0)</f>
        <v>0</v>
      </c>
      <c r="BF201" s="82">
        <f>IF($U$201="snížená",$N$201,0)</f>
        <v>0</v>
      </c>
      <c r="BG201" s="82">
        <f>IF($U$201="zákl. přenesená",$N$201,0)</f>
        <v>0</v>
      </c>
      <c r="BH201" s="82">
        <f>IF($U$201="sníž. přenesená",$N$201,0)</f>
        <v>0</v>
      </c>
      <c r="BI201" s="82">
        <f>IF($U$201="nulová",$N$201,0)</f>
        <v>0</v>
      </c>
      <c r="BJ201" s="6" t="s">
        <v>141</v>
      </c>
      <c r="BK201" s="82">
        <f>$L$201*$K$201</f>
        <v>0</v>
      </c>
    </row>
    <row r="202" spans="2:63" s="6" customFormat="1" ht="23.25" customHeight="1">
      <c r="B202" s="21"/>
      <c r="C202" s="153"/>
      <c r="D202" s="153" t="s">
        <v>164</v>
      </c>
      <c r="E202" s="154"/>
      <c r="F202" s="219"/>
      <c r="G202" s="220"/>
      <c r="H202" s="220"/>
      <c r="I202" s="220"/>
      <c r="J202" s="155"/>
      <c r="K202" s="140"/>
      <c r="L202" s="207"/>
      <c r="M202" s="206"/>
      <c r="N202" s="208">
        <f>$BK$202</f>
        <v>0</v>
      </c>
      <c r="O202" s="206"/>
      <c r="P202" s="206"/>
      <c r="Q202" s="206"/>
      <c r="R202" s="22"/>
      <c r="T202" s="127"/>
      <c r="U202" s="156" t="s">
        <v>42</v>
      </c>
      <c r="AA202" s="54"/>
      <c r="AT202" s="6" t="s">
        <v>314</v>
      </c>
      <c r="AU202" s="6" t="s">
        <v>17</v>
      </c>
      <c r="AY202" s="6" t="s">
        <v>314</v>
      </c>
      <c r="BE202" s="82">
        <f>IF($U$202="základní",$N$202,0)</f>
        <v>0</v>
      </c>
      <c r="BF202" s="82">
        <f>IF($U$202="snížená",$N$202,0)</f>
        <v>0</v>
      </c>
      <c r="BG202" s="82">
        <f>IF($U$202="zákl. přenesená",$N$202,0)</f>
        <v>0</v>
      </c>
      <c r="BH202" s="82">
        <f>IF($U$202="sníž. přenesená",$N$202,0)</f>
        <v>0</v>
      </c>
      <c r="BI202" s="82">
        <f>IF($U$202="nulová",$N$202,0)</f>
        <v>0</v>
      </c>
      <c r="BJ202" s="6" t="s">
        <v>141</v>
      </c>
      <c r="BK202" s="82">
        <f>$L$202*$K$202</f>
        <v>0</v>
      </c>
    </row>
    <row r="203" spans="2:63" s="6" customFormat="1" ht="23.25" customHeight="1">
      <c r="B203" s="21"/>
      <c r="C203" s="153"/>
      <c r="D203" s="153" t="s">
        <v>164</v>
      </c>
      <c r="E203" s="154"/>
      <c r="F203" s="219"/>
      <c r="G203" s="220"/>
      <c r="H203" s="220"/>
      <c r="I203" s="220"/>
      <c r="J203" s="155"/>
      <c r="K203" s="140"/>
      <c r="L203" s="207"/>
      <c r="M203" s="206"/>
      <c r="N203" s="208">
        <f>$BK$203</f>
        <v>0</v>
      </c>
      <c r="O203" s="206"/>
      <c r="P203" s="206"/>
      <c r="Q203" s="206"/>
      <c r="R203" s="22"/>
      <c r="T203" s="127"/>
      <c r="U203" s="156" t="s">
        <v>42</v>
      </c>
      <c r="AA203" s="54"/>
      <c r="AT203" s="6" t="s">
        <v>314</v>
      </c>
      <c r="AU203" s="6" t="s">
        <v>17</v>
      </c>
      <c r="AY203" s="6" t="s">
        <v>314</v>
      </c>
      <c r="BE203" s="82">
        <f>IF($U$203="základní",$N$203,0)</f>
        <v>0</v>
      </c>
      <c r="BF203" s="82">
        <f>IF($U$203="snížená",$N$203,0)</f>
        <v>0</v>
      </c>
      <c r="BG203" s="82">
        <f>IF($U$203="zákl. přenesená",$N$203,0)</f>
        <v>0</v>
      </c>
      <c r="BH203" s="82">
        <f>IF($U$203="sníž. přenesená",$N$203,0)</f>
        <v>0</v>
      </c>
      <c r="BI203" s="82">
        <f>IF($U$203="nulová",$N$203,0)</f>
        <v>0</v>
      </c>
      <c r="BJ203" s="6" t="s">
        <v>141</v>
      </c>
      <c r="BK203" s="82">
        <f>$L$203*$K$203</f>
        <v>0</v>
      </c>
    </row>
    <row r="204" spans="2:63" s="6" customFormat="1" ht="23.25" customHeight="1">
      <c r="B204" s="21"/>
      <c r="C204" s="153"/>
      <c r="D204" s="153" t="s">
        <v>164</v>
      </c>
      <c r="E204" s="154"/>
      <c r="F204" s="219"/>
      <c r="G204" s="220"/>
      <c r="H204" s="220"/>
      <c r="I204" s="220"/>
      <c r="J204" s="155"/>
      <c r="K204" s="140"/>
      <c r="L204" s="207"/>
      <c r="M204" s="206"/>
      <c r="N204" s="208">
        <f>$BK$204</f>
        <v>0</v>
      </c>
      <c r="O204" s="206"/>
      <c r="P204" s="206"/>
      <c r="Q204" s="206"/>
      <c r="R204" s="22"/>
      <c r="T204" s="127"/>
      <c r="U204" s="156" t="s">
        <v>42</v>
      </c>
      <c r="V204" s="40"/>
      <c r="W204" s="40"/>
      <c r="X204" s="40"/>
      <c r="Y204" s="40"/>
      <c r="Z204" s="40"/>
      <c r="AA204" s="42"/>
      <c r="AT204" s="6" t="s">
        <v>314</v>
      </c>
      <c r="AU204" s="6" t="s">
        <v>17</v>
      </c>
      <c r="AY204" s="6" t="s">
        <v>314</v>
      </c>
      <c r="BE204" s="82">
        <f>IF($U$204="základní",$N$204,0)</f>
        <v>0</v>
      </c>
      <c r="BF204" s="82">
        <f>IF($U$204="snížená",$N$204,0)</f>
        <v>0</v>
      </c>
      <c r="BG204" s="82">
        <f>IF($U$204="zákl. přenesená",$N$204,0)</f>
        <v>0</v>
      </c>
      <c r="BH204" s="82">
        <f>IF($U$204="sníž. přenesená",$N$204,0)</f>
        <v>0</v>
      </c>
      <c r="BI204" s="82">
        <f>IF($U$204="nulová",$N$204,0)</f>
        <v>0</v>
      </c>
      <c r="BJ204" s="6" t="s">
        <v>141</v>
      </c>
      <c r="BK204" s="82">
        <f>$L$204*$K$204</f>
        <v>0</v>
      </c>
    </row>
    <row r="205" spans="2:18" s="6" customFormat="1" ht="7.5" customHeight="1">
      <c r="B205" s="43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5"/>
    </row>
    <row r="215" s="2" customFormat="1" ht="14.25" customHeight="1"/>
  </sheetData>
  <sheetProtection/>
  <mergeCells count="241">
    <mergeCell ref="H1:K1"/>
    <mergeCell ref="S2:AC2"/>
    <mergeCell ref="N156:Q156"/>
    <mergeCell ref="N161:Q161"/>
    <mergeCell ref="N167:Q167"/>
    <mergeCell ref="N176:Q176"/>
    <mergeCell ref="N182:Q182"/>
    <mergeCell ref="N199:Q199"/>
    <mergeCell ref="F204:I204"/>
    <mergeCell ref="L204:M204"/>
    <mergeCell ref="N204:Q204"/>
    <mergeCell ref="N127:Q127"/>
    <mergeCell ref="N128:Q128"/>
    <mergeCell ref="N129:Q129"/>
    <mergeCell ref="N135:Q135"/>
    <mergeCell ref="N142:Q142"/>
    <mergeCell ref="N148:Q148"/>
    <mergeCell ref="N155:Q155"/>
    <mergeCell ref="F202:I202"/>
    <mergeCell ref="L202:M202"/>
    <mergeCell ref="N202:Q202"/>
    <mergeCell ref="F203:I203"/>
    <mergeCell ref="L203:M203"/>
    <mergeCell ref="N203:Q203"/>
    <mergeCell ref="F200:I200"/>
    <mergeCell ref="L200:M200"/>
    <mergeCell ref="N200:Q200"/>
    <mergeCell ref="F201:I201"/>
    <mergeCell ref="L201:M201"/>
    <mergeCell ref="N201:Q201"/>
    <mergeCell ref="F195:I195"/>
    <mergeCell ref="F196:I196"/>
    <mergeCell ref="F197:I197"/>
    <mergeCell ref="L197:M197"/>
    <mergeCell ref="N197:Q197"/>
    <mergeCell ref="F198:I198"/>
    <mergeCell ref="L198:M198"/>
    <mergeCell ref="N198:Q198"/>
    <mergeCell ref="F191:I191"/>
    <mergeCell ref="F192:I192"/>
    <mergeCell ref="F193:I193"/>
    <mergeCell ref="L193:M193"/>
    <mergeCell ref="N193:Q193"/>
    <mergeCell ref="F194:I194"/>
    <mergeCell ref="L194:M194"/>
    <mergeCell ref="N194:Q194"/>
    <mergeCell ref="F187:I187"/>
    <mergeCell ref="F188:I188"/>
    <mergeCell ref="F189:I189"/>
    <mergeCell ref="L189:M189"/>
    <mergeCell ref="N189:Q189"/>
    <mergeCell ref="F190:I190"/>
    <mergeCell ref="F183:I183"/>
    <mergeCell ref="L183:M183"/>
    <mergeCell ref="N183:Q183"/>
    <mergeCell ref="F184:I184"/>
    <mergeCell ref="F185:I185"/>
    <mergeCell ref="F186:I186"/>
    <mergeCell ref="F180:I180"/>
    <mergeCell ref="L180:M180"/>
    <mergeCell ref="N180:Q180"/>
    <mergeCell ref="F181:I181"/>
    <mergeCell ref="L181:M181"/>
    <mergeCell ref="N181:Q181"/>
    <mergeCell ref="F177:I177"/>
    <mergeCell ref="L177:M177"/>
    <mergeCell ref="N177:Q177"/>
    <mergeCell ref="F178:I178"/>
    <mergeCell ref="F179:I179"/>
    <mergeCell ref="L179:M179"/>
    <mergeCell ref="N179:Q179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69:I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8:I168"/>
    <mergeCell ref="L168:M168"/>
    <mergeCell ref="N168:Q168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2:I152"/>
    <mergeCell ref="F153:I153"/>
    <mergeCell ref="L153:M153"/>
    <mergeCell ref="N153:Q153"/>
    <mergeCell ref="F154:I154"/>
    <mergeCell ref="L154:M154"/>
    <mergeCell ref="N154:Q154"/>
    <mergeCell ref="N149:Q149"/>
    <mergeCell ref="F150:I150"/>
    <mergeCell ref="L150:M150"/>
    <mergeCell ref="N150:Q150"/>
    <mergeCell ref="F151:I151"/>
    <mergeCell ref="L151:M151"/>
    <mergeCell ref="N151:Q151"/>
    <mergeCell ref="F144:I144"/>
    <mergeCell ref="F145:I145"/>
    <mergeCell ref="F146:I146"/>
    <mergeCell ref="F147:I147"/>
    <mergeCell ref="F149:I149"/>
    <mergeCell ref="L149:M149"/>
    <mergeCell ref="F141:I141"/>
    <mergeCell ref="L141:M141"/>
    <mergeCell ref="N141:Q141"/>
    <mergeCell ref="F143:I143"/>
    <mergeCell ref="L143:M143"/>
    <mergeCell ref="N143:Q143"/>
    <mergeCell ref="F139:I139"/>
    <mergeCell ref="L139:M139"/>
    <mergeCell ref="N139:Q139"/>
    <mergeCell ref="F140:I140"/>
    <mergeCell ref="L140:M140"/>
    <mergeCell ref="N140:Q140"/>
    <mergeCell ref="F134:I134"/>
    <mergeCell ref="F136:I136"/>
    <mergeCell ref="L136:M136"/>
    <mergeCell ref="N136:Q136"/>
    <mergeCell ref="F137:I137"/>
    <mergeCell ref="F138:I138"/>
    <mergeCell ref="L138:M138"/>
    <mergeCell ref="N138:Q138"/>
    <mergeCell ref="F131:I131"/>
    <mergeCell ref="L131:M131"/>
    <mergeCell ref="N131:Q131"/>
    <mergeCell ref="F132:I132"/>
    <mergeCell ref="F133:I133"/>
    <mergeCell ref="L133:M133"/>
    <mergeCell ref="N133:Q133"/>
    <mergeCell ref="F126:I126"/>
    <mergeCell ref="L126:M126"/>
    <mergeCell ref="N126:Q126"/>
    <mergeCell ref="F130:I130"/>
    <mergeCell ref="L130:M130"/>
    <mergeCell ref="N130:Q130"/>
    <mergeCell ref="C116:Q116"/>
    <mergeCell ref="F118:P118"/>
    <mergeCell ref="F119:P119"/>
    <mergeCell ref="M121:P121"/>
    <mergeCell ref="M123:Q123"/>
    <mergeCell ref="M124:Q124"/>
    <mergeCell ref="D106:H106"/>
    <mergeCell ref="N106:Q106"/>
    <mergeCell ref="D107:H107"/>
    <mergeCell ref="N107:Q107"/>
    <mergeCell ref="N108:Q108"/>
    <mergeCell ref="L110:Q110"/>
    <mergeCell ref="N102:Q102"/>
    <mergeCell ref="D103:H103"/>
    <mergeCell ref="N103:Q103"/>
    <mergeCell ref="D104:H104"/>
    <mergeCell ref="N104:Q104"/>
    <mergeCell ref="D105:H105"/>
    <mergeCell ref="N105:Q105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200:D205">
      <formula1>"K,M"</formula1>
    </dataValidation>
    <dataValidation type="list" allowBlank="1" showInputMessage="1" showErrorMessage="1" error="Povoleny jsou hodnoty základní, snížená, zákl. přenesená, sníž. přenesená, nulová." sqref="U200:U205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6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alena</cp:lastModifiedBy>
  <dcterms:modified xsi:type="dcterms:W3CDTF">2013-07-08T10:04:11Z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