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26 b - SO 05 - vstupní ..." sheetId="2" r:id="rId2"/>
  </sheets>
  <definedNames>
    <definedName name="_xlnm.Print_Titles" localSheetId="1">'1326 b - SO 05 - vstupní ...'!$129:$129</definedName>
    <definedName name="_xlnm.Print_Titles" localSheetId="0">'Rekapitulace stavby'!$85:$85</definedName>
    <definedName name="_xlnm.Print_Area" localSheetId="1">'1326 b - SO 05 - vstupní ...'!$C$4:$Q$70,'1326 b - SO 05 - vstupní ...'!$C$76:$Q$113,'1326 b - SO 05 - vstupní ...'!$C$119:$Q$226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<sst xmlns="http://schemas.openxmlformats.org/spreadsheetml/2006/main" count="1302" uniqueCount="375">
  <si>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</si>
  <si>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</si>
  <si>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</si>
  <si>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</si>
  <si>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</si>
  <si>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</si>
  <si>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</si>
  <si>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</si>
  <si>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</si>
  <si>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</si>
  <si>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</si>
  <si>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</si>
  <si>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</si>
  <si>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</si>
  <si>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1326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</si>
  <si>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</si>
  <si>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</si>
  <si>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Poliklinika - stavební úpravy</t>
  </si>
  <si>
    <t>0,1</t>
  </si>
  <si>
    <t>JKSO:</t>
  </si>
  <si>
    <t>CC-CZ:</t>
  </si>
  <si>
    <t>1</t>
  </si>
  <si>
    <t>Místo:</t>
  </si>
  <si>
    <t>Kolín IV</t>
  </si>
  <si>
    <t>Datum:</t>
  </si>
  <si>
    <t>11.06.2013</t>
  </si>
  <si>
    <t>10</t>
  </si>
  <si>
    <t>100</t>
  </si>
  <si>
    <t>Objednavatel:</t>
  </si>
  <si>
    <t>IČ:</t>
  </si>
  <si>
    <t>Město Kolín, Karlovo nám. 78, Kolín 1</t>
  </si>
  <si>
    <t>DIČ:</t>
  </si>
  <si>
    <t>Zhotovitel:</t>
  </si>
  <si>
    <t>Vyplň údaj</t>
  </si>
  <si>
    <t>Projektant:</t>
  </si>
  <si>
    <t>Ing. Karel vrátný, Rubešova 60, Kolín 1</t>
  </si>
  <si>
    <t>True</t>
  </si>
  <si>
    <t>Zpracovatel:</t>
  </si>
  <si>
    <t>Alena Vrátná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</si>
  <si>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</si>
  <si>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</si>
  <si>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</si>
  <si>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</si>
  <si>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</si>
  <si>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</si>
  <si>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</si>
  <si>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</si>
  <si>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</si>
  <si>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</si>
  <si>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</si>
  <si>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</si>
  <si>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</si>
  <si>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</si>
  <si>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</si>
  <si>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</si>
  <si>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</si>
  <si>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</si>
  <si>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</si>
  <si>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</si>
  <si>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</si>
  <si>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</si>
  <si>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</si>
  <si>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</si>
  <si>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</si>
  <si>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</si>
  <si>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</si>
  <si>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</si>
  <si>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</si>
  <si>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</si>
  <si>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</si>
  <si>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</si>
  <si>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</si>
  <si>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</si>
  <si>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</si>
  <si>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</si>
  <si>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</si>
  <si>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</si>
  <si>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</si>
  <si>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</si>
  <si>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</si>
  <si>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</si>
  <si>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{63A56180-0B79-4DAC-918E-9D67C5D9AD16}</t>
  </si>
  <si>
    <t>{00000000-0000-0000-0000-000000000000}</t>
  </si>
  <si>
    <t>1326 b</t>
  </si>
  <si>
    <t>SO 05 - vstupní vestibul - podhledy</t>
  </si>
  <si>
    <t>{7FF3F5F0-44C6-4234-9509-7B489AC1F196}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</si>
  <si>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</si>
  <si>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</si>
  <si>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</si>
  <si>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</si>
  <si>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</si>
  <si>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</si>
  <si>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</si>
  <si>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</si>
  <si>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</si>
  <si>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</si>
  <si>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</si>
  <si>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</si>
  <si>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</si>
  <si>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</si>
  <si>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</si>
  <si>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</si>
  <si>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</si>
  <si>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</si>
  <si>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</si>
  <si>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</si>
  <si>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</si>
  <si>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</si>
  <si>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</si>
  <si>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</si>
  <si>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</si>
  <si>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</si>
  <si>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</si>
  <si>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</si>
  <si>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</si>
  <si>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</si>
  <si>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</si>
  <si>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</si>
  <si>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</si>
  <si>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713 - Izolace tepelné</t>
  </si>
  <si>
    <t xml:space="preserve">    748 - Elektromontáže - osvětlovací zařízení a svítidla</t>
  </si>
  <si>
    <t xml:space="preserve">    751 - Vstupní portál - dodávka + montáž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</si>
  <si>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</si>
  <si>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</si>
  <si>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</si>
  <si>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</si>
  <si>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</si>
  <si>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795 - Různé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</si>
  <si>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</si>
  <si>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</si>
  <si>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</si>
  <si>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</si>
  <si>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</si>
  <si>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</si>
  <si>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</si>
  <si>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</si>
  <si>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</si>
  <si>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</si>
  <si>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</si>
  <si>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</si>
  <si>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</si>
  <si>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</si>
  <si>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</si>
  <si>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</si>
  <si>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</si>
  <si>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</si>
  <si>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</si>
  <si>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</si>
  <si>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</si>
  <si>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</si>
  <si>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</si>
  <si>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</si>
  <si>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</si>
  <si>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</si>
  <si>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</si>
  <si>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612142001</t>
  </si>
  <si>
    <t>Potažení vnitřních stěn sklovláknitým pletivem vtlačeným do tenkovrstvé hmoty</t>
  </si>
  <si>
    <t>m2</t>
  </si>
  <si>
    <t>4</t>
  </si>
  <si>
    <t>5,5*(0,6+0,2)</t>
  </si>
  <si>
    <t>VV</t>
  </si>
  <si>
    <t>612511001</t>
  </si>
  <si>
    <t>Tenkovrstvá akrylátová zrnitá omítka tl. 1,0 mm včetně penetrace vnitřních stěn</t>
  </si>
  <si>
    <t>3</t>
  </si>
  <si>
    <t>622142001</t>
  </si>
  <si>
    <t>Potažení vnějších stěn sklovláknitým pletivem vtlačeným do tenkovrstvé hmoty</t>
  </si>
  <si>
    <t>622511011</t>
  </si>
  <si>
    <t>Tenkovrstvá akrylátová zrnitá omítka tl. 1,5 mm včetně penetrace vnějších stěn</t>
  </si>
  <si>
    <t>5</t>
  </si>
  <si>
    <t>6246312R1</t>
  </si>
  <si>
    <t>Tmelení silikonovým tmelem spar kolem otvorů š. do 20 mm včetně penetrace</t>
  </si>
  <si>
    <t>m</t>
  </si>
  <si>
    <t>5,6+2,1+3*4</t>
  </si>
  <si>
    <t>6</t>
  </si>
  <si>
    <t>949101111</t>
  </si>
  <si>
    <t>Lešení pomocné pro objekty pozemních staveb s lešeňovou podlahou v do 1,9 m zatížení do 150 kg/m2</t>
  </si>
  <si>
    <t>7</t>
  </si>
  <si>
    <t>952902021</t>
  </si>
  <si>
    <t>Čištění budov zametení hladkých podlah</t>
  </si>
  <si>
    <t>8</t>
  </si>
  <si>
    <t>968072456</t>
  </si>
  <si>
    <t>Vybourání kovových dveřních zárubní pl přes 2 m2</t>
  </si>
  <si>
    <t>1,6*2,1</t>
  </si>
  <si>
    <t>9</t>
  </si>
  <si>
    <t>997002611</t>
  </si>
  <si>
    <t>Nakládání suti a vybouraných hmot</t>
  </si>
  <si>
    <t>t</t>
  </si>
  <si>
    <t>997013501</t>
  </si>
  <si>
    <t>Odvoz suti na skládku a vybouraných hmot nebo meziskládku do 1 km se složením</t>
  </si>
  <si>
    <t>11</t>
  </si>
  <si>
    <t>997013509</t>
  </si>
  <si>
    <t>Příplatek k odvozu suti a vybouraných hmot na skládku ZKD 1 km přes 1 km</t>
  </si>
  <si>
    <t>0,778*18</t>
  </si>
  <si>
    <t>12</t>
  </si>
  <si>
    <t>997013831</t>
  </si>
  <si>
    <t>Poplatek za uložení stavebního směsného odpadu na skládce (skládkovné)</t>
  </si>
  <si>
    <t>13</t>
  </si>
  <si>
    <t>998011001</t>
  </si>
  <si>
    <t xml:space="preserve">Přesun hmot pro budovy zděné </t>
  </si>
  <si>
    <t>14</t>
  </si>
  <si>
    <t>713131155</t>
  </si>
  <si>
    <t>Montáž izolace tepelné stěn a základů volně vloženými rohožemi, pásy, dílci, deskami 2 vrstvy</t>
  </si>
  <si>
    <t>16</t>
  </si>
  <si>
    <t>5,5*0,6</t>
  </si>
  <si>
    <t>M</t>
  </si>
  <si>
    <t>283758610</t>
  </si>
  <si>
    <t>deska z pěnového polystyrenu EPS 50 Z 1000 x 1000 x 100 mm</t>
  </si>
  <si>
    <t>32</t>
  </si>
  <si>
    <t>631515400</t>
  </si>
  <si>
    <t>deska minerální izolační ISOVER TF tl.200 mm</t>
  </si>
  <si>
    <t>17</t>
  </si>
  <si>
    <t>71319113R</t>
  </si>
  <si>
    <t>Montáž izolace sendvič. kce folií  z PE</t>
  </si>
  <si>
    <t>3,300*2</t>
  </si>
  <si>
    <t>18</t>
  </si>
  <si>
    <t>283292R</t>
  </si>
  <si>
    <t>folie difuzní</t>
  </si>
  <si>
    <t>19</t>
  </si>
  <si>
    <t>283231500</t>
  </si>
  <si>
    <t>fólie separační PE bal. 100 m2</t>
  </si>
  <si>
    <t>20</t>
  </si>
  <si>
    <t>998713102</t>
  </si>
  <si>
    <t>Přesun hmot tonážní tonážní pro izolace tepelné v objektech v do 12 m</t>
  </si>
  <si>
    <t>74812111R</t>
  </si>
  <si>
    <t>Montáž svítidlo zářivkové v podhledu 2 zdroje s krytem</t>
  </si>
  <si>
    <t>kus</t>
  </si>
  <si>
    <t>22</t>
  </si>
  <si>
    <t>348230</t>
  </si>
  <si>
    <t>svítidlo zářivkové stropní do kazet</t>
  </si>
  <si>
    <t>23</t>
  </si>
  <si>
    <t>74812R001</t>
  </si>
  <si>
    <t>Demontáž elektroinstalace, úpravy, nové rozvody k zářivkám</t>
  </si>
  <si>
    <t>24</t>
  </si>
  <si>
    <t>75111R001</t>
  </si>
  <si>
    <t>D+m sloup nerez tr. pr. 180/6 dl. 3000 mm</t>
  </si>
  <si>
    <t>25</t>
  </si>
  <si>
    <t>75112R002</t>
  </si>
  <si>
    <t>D+M vzpěra nerez tr. pr. 150/4 dl. 4000 mm</t>
  </si>
  <si>
    <t>26</t>
  </si>
  <si>
    <t>75112R003</t>
  </si>
  <si>
    <t>D+M kotevní deska 350/350/8 (nerez)</t>
  </si>
  <si>
    <t>27</t>
  </si>
  <si>
    <t>75112R004</t>
  </si>
  <si>
    <t>D+M postranní vodorovné prvky 60/160 dl. 4000 mm</t>
  </si>
  <si>
    <t>28</t>
  </si>
  <si>
    <t>75112R005</t>
  </si>
  <si>
    <t>D+m střední vodorovný prvek 60/160 dl. 6000 mm</t>
  </si>
  <si>
    <t>29</t>
  </si>
  <si>
    <t>75112R006</t>
  </si>
  <si>
    <t>D+M horní vodorovné prvky tr. pr. 150/4 dl. 6100 mm</t>
  </si>
  <si>
    <t>30</t>
  </si>
  <si>
    <t>75113R007</t>
  </si>
  <si>
    <t>D+m kotvení do žlb. sloupů deska 300/300/6</t>
  </si>
  <si>
    <t>31</t>
  </si>
  <si>
    <t>75113R008</t>
  </si>
  <si>
    <t>D+ m kotvení do žlb. portálu</t>
  </si>
  <si>
    <t>75113R009</t>
  </si>
  <si>
    <t>D+m zavětrování pr. 30 dl. 3500 mm</t>
  </si>
  <si>
    <t>33</t>
  </si>
  <si>
    <t>75113R010</t>
  </si>
  <si>
    <t>D+M střední distančníky</t>
  </si>
  <si>
    <t>34</t>
  </si>
  <si>
    <t>75113R011</t>
  </si>
  <si>
    <t>D+m krajové distančníky</t>
  </si>
  <si>
    <t>35</t>
  </si>
  <si>
    <t>75113R012</t>
  </si>
  <si>
    <t>D+m zavětrování střecha tr. pr. 45 dl. 7500</t>
  </si>
  <si>
    <t>36</t>
  </si>
  <si>
    <t>75131R013</t>
  </si>
  <si>
    <t>D+m sklo střechy  tl. 7 mm, bezpečnostní + těsnící materiál</t>
  </si>
  <si>
    <t>37</t>
  </si>
  <si>
    <t>75131R014</t>
  </si>
  <si>
    <t>D+m okapnice nerez 80/80 dl. 3900 mm+ svod (poplast) pr. 80 dl. 4500 mm + kotvení</t>
  </si>
  <si>
    <t>38</t>
  </si>
  <si>
    <t>75132R015</t>
  </si>
  <si>
    <t xml:space="preserve">D+m horní zavětrování pr. 12 dl. 7500 mm </t>
  </si>
  <si>
    <t>39</t>
  </si>
  <si>
    <t>75133R016</t>
  </si>
  <si>
    <t xml:space="preserve">Předpokládané náklady </t>
  </si>
  <si>
    <t>kpl</t>
  </si>
  <si>
    <t>40</t>
  </si>
  <si>
    <t>762430035</t>
  </si>
  <si>
    <t>Obložení stěn z desek CETRIS tl 20 mm broušených na pero a drážku šroubovaných</t>
  </si>
  <si>
    <t>41</t>
  </si>
  <si>
    <t>998762102</t>
  </si>
  <si>
    <t>Přesun hmot tonážní pro kce tesařské v objektech v do 12 m</t>
  </si>
  <si>
    <t>42</t>
  </si>
  <si>
    <t>763121415</t>
  </si>
  <si>
    <t>SDK stěna předsazená tl 112,5 mm profil CW+UW 100 deska 1xA 12,5 TI EI 15</t>
  </si>
  <si>
    <t>43</t>
  </si>
  <si>
    <t>763121714</t>
  </si>
  <si>
    <t>SDK stěna předsazená základní penetrační nátěr</t>
  </si>
  <si>
    <t>44</t>
  </si>
  <si>
    <t>763121715</t>
  </si>
  <si>
    <t>SDK stěna předsazená úprava styku stěny a podhledu separační páskou a silikonováním</t>
  </si>
  <si>
    <t>5,5+0,6*2</t>
  </si>
  <si>
    <t>45</t>
  </si>
  <si>
    <t>763135102</t>
  </si>
  <si>
    <t>Montáž SDK kazetového podhledu z kazet 600x600 mm na zavěšenou polozapuštěnou nosnou konstrukci</t>
  </si>
  <si>
    <t>46</t>
  </si>
  <si>
    <t>590305720</t>
  </si>
  <si>
    <t xml:space="preserve">podhled kazetový </t>
  </si>
  <si>
    <t>47</t>
  </si>
  <si>
    <t>998763200</t>
  </si>
  <si>
    <t>Přesun hmot procentní pro dřevostavby v objektech v do 6 m</t>
  </si>
  <si>
    <t>%</t>
  </si>
  <si>
    <t>48</t>
  </si>
  <si>
    <t>76662R001</t>
  </si>
  <si>
    <t xml:space="preserve">Dodávka + montáž okna plast. zdvoj. 0,82/3 m </t>
  </si>
  <si>
    <t>49</t>
  </si>
  <si>
    <t>76662R002</t>
  </si>
  <si>
    <t xml:space="preserve">Dodávka + montáž dveře plast s nadsvětlíkem 0,85/3 m vč. kování, prosklení Conex </t>
  </si>
  <si>
    <t>50</t>
  </si>
  <si>
    <t>76662R003</t>
  </si>
  <si>
    <t>Dodávka + montáž plast. prosklená stěna s dveřmi automat. na fotobuňku, prosklení Comax 3,6/2,9 m</t>
  </si>
  <si>
    <t>51</t>
  </si>
  <si>
    <t>76662R004</t>
  </si>
  <si>
    <t>Dodávka + montáž komprimační páska KX 300 vně oken proti přívalovému dešti</t>
  </si>
  <si>
    <t>52</t>
  </si>
  <si>
    <t>76662R005</t>
  </si>
  <si>
    <t>Dodávka + montáž vnitřní parotěsné zábrany</t>
  </si>
  <si>
    <t>53</t>
  </si>
  <si>
    <t>998766202</t>
  </si>
  <si>
    <t>Přesun hmot procentní pro konstrukce truhlářské v objektech v do 12 m</t>
  </si>
  <si>
    <t>54</t>
  </si>
  <si>
    <t>76713R001</t>
  </si>
  <si>
    <t>Demontáž stávající markýzy, odvoz na skládku, skládkovné</t>
  </si>
  <si>
    <t>55</t>
  </si>
  <si>
    <t>767581802</t>
  </si>
  <si>
    <t>Demontáž podhledu lamel</t>
  </si>
  <si>
    <t>0,82*0,73+0,85*0,73+5,51*6,45</t>
  </si>
  <si>
    <t>56</t>
  </si>
  <si>
    <t>767582800</t>
  </si>
  <si>
    <t>Demontáž roštu podhledu</t>
  </si>
  <si>
    <t>57</t>
  </si>
  <si>
    <t>767584801</t>
  </si>
  <si>
    <t>Demontáž podhledu těles zářivkových</t>
  </si>
  <si>
    <t>58</t>
  </si>
  <si>
    <t>767585111</t>
  </si>
  <si>
    <t>Montáž podhledů - zářivkových těles bez prostupu</t>
  </si>
  <si>
    <t>59</t>
  </si>
  <si>
    <t>767691822</t>
  </si>
  <si>
    <t>Vyvěšení nebo zavěšení kovových křídel dveří do 2 m2</t>
  </si>
  <si>
    <t>60</t>
  </si>
  <si>
    <t>76772R5001</t>
  </si>
  <si>
    <t>Demontáž výkladců předsazených - prosklené části vstupu</t>
  </si>
  <si>
    <t>0,82*3+0,85*3+5,5*0,6+3,3*2,9-1,6*2,1</t>
  </si>
  <si>
    <t>61</t>
  </si>
  <si>
    <t>76781R002</t>
  </si>
  <si>
    <t>Demontáž stávajících dveří na fotobuňku</t>
  </si>
  <si>
    <t>62</t>
  </si>
  <si>
    <t>998767201</t>
  </si>
  <si>
    <t>Přesun hmot procentní pro zámečnické konstrukce v objektech v do 6 m</t>
  </si>
  <si>
    <t>63</t>
  </si>
  <si>
    <t>78411R003</t>
  </si>
  <si>
    <t xml:space="preserve">Malba SDK </t>
  </si>
  <si>
    <t>64</t>
  </si>
  <si>
    <t>784171111</t>
  </si>
  <si>
    <t>Zakrytí vnitřních ploch stěn v místnostech výšky do 3,80 m</t>
  </si>
  <si>
    <t>1,45*2+0,9*2+1,63*2,07+1,55*1,25+3,37*3+(0,85+0,82)*3"proti prachu</t>
  </si>
  <si>
    <t>65</t>
  </si>
  <si>
    <t>581248440</t>
  </si>
  <si>
    <t>fólie pro malířské potřeby zakrývací, PG 4021-20, 25µ,  4 x 5 m</t>
  </si>
  <si>
    <t>66</t>
  </si>
  <si>
    <t>79512R001</t>
  </si>
  <si>
    <t>Zábor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</si>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</sst>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0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1C9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01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0" t="s">
        <v>0</v>
      </c>
      <c r="B1" s="211"/>
      <c r="C1" s="211"/>
      <c r="D1" s="212" t="s">
        <v>1</v>
      </c>
      <c r="E1" s="211"/>
      <c r="F1" s="211"/>
      <c r="G1" s="211"/>
      <c r="H1" s="211"/>
      <c r="I1" s="211"/>
      <c r="J1" s="211"/>
      <c r="K1" s="213" t="s">
        <v>368</v>
      </c>
      <c r="L1" s="213"/>
      <c r="M1" s="213"/>
      <c r="N1" s="213"/>
      <c r="O1" s="213"/>
      <c r="P1" s="213"/>
      <c r="Q1" s="213"/>
      <c r="R1" s="213"/>
      <c r="S1" s="213"/>
      <c r="T1" s="211"/>
      <c r="U1" s="211"/>
      <c r="V1" s="211"/>
      <c r="W1" s="213" t="s">
        <v>369</v>
      </c>
      <c r="X1" s="213"/>
      <c r="Y1" s="213"/>
      <c r="Z1" s="213"/>
      <c r="AA1" s="213"/>
      <c r="AB1" s="213"/>
      <c r="AC1" s="213"/>
      <c r="AD1" s="213"/>
      <c r="AE1" s="213"/>
      <c r="AF1" s="213"/>
      <c r="AG1" s="211"/>
      <c r="AH1" s="21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80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1" t="s">
        <v>14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48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2" t="s">
        <v>17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6"/>
      <c r="BS8" s="6" t="s">
        <v>26</v>
      </c>
    </row>
    <row r="9" spans="2:71" s="2" customFormat="1" ht="15" customHeight="1">
      <c r="B9" s="10"/>
      <c r="AQ9" s="11"/>
      <c r="BE9" s="146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6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6"/>
      <c r="BS11" s="6" t="s">
        <v>18</v>
      </c>
    </row>
    <row r="12" spans="2:71" s="2" customFormat="1" ht="7.5" customHeight="1">
      <c r="B12" s="10"/>
      <c r="AQ12" s="11"/>
      <c r="BE12" s="146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6"/>
      <c r="BS13" s="6" t="s">
        <v>18</v>
      </c>
    </row>
    <row r="14" spans="2:71" s="2" customFormat="1" ht="15.75" customHeight="1">
      <c r="B14" s="10"/>
      <c r="E14" s="153" t="s">
        <v>33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31</v>
      </c>
      <c r="AN14" s="19" t="s">
        <v>33</v>
      </c>
      <c r="AQ14" s="11"/>
      <c r="BE14" s="146"/>
      <c r="BS14" s="6" t="s">
        <v>18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6"/>
      <c r="BS17" s="6" t="s">
        <v>36</v>
      </c>
    </row>
    <row r="18" spans="2:71" s="2" customFormat="1" ht="7.5" customHeight="1">
      <c r="B18" s="10"/>
      <c r="AQ18" s="11"/>
      <c r="BE18" s="146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6"/>
      <c r="BS19" s="6" t="s">
        <v>18</v>
      </c>
    </row>
    <row r="20" spans="2:57" s="2" customFormat="1" ht="19.5" customHeight="1">
      <c r="B20" s="10"/>
      <c r="E20" s="15" t="s">
        <v>38</v>
      </c>
      <c r="AK20" s="17" t="s">
        <v>31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6"/>
    </row>
    <row r="23" spans="2:57" s="2" customFormat="1" ht="15" customHeight="1">
      <c r="B23" s="10"/>
      <c r="D23" s="21" t="s">
        <v>39</v>
      </c>
      <c r="AK23" s="154">
        <f>ROUNDUP($AG$87,2)</f>
        <v>0</v>
      </c>
      <c r="AL23" s="146"/>
      <c r="AM23" s="146"/>
      <c r="AN23" s="146"/>
      <c r="AO23" s="146"/>
      <c r="AQ23" s="11"/>
      <c r="BE23" s="146"/>
    </row>
    <row r="24" spans="2:57" s="2" customFormat="1" ht="15" customHeight="1">
      <c r="B24" s="10"/>
      <c r="D24" s="21" t="s">
        <v>40</v>
      </c>
      <c r="AK24" s="154">
        <f>ROUNDUP($AG$90,2)</f>
        <v>0</v>
      </c>
      <c r="AL24" s="146"/>
      <c r="AM24" s="146"/>
      <c r="AN24" s="146"/>
      <c r="AO24" s="146"/>
      <c r="AQ24" s="11"/>
      <c r="BE24" s="146"/>
    </row>
    <row r="25" spans="2:57" s="6" customFormat="1" ht="7.5" customHeight="1">
      <c r="B25" s="22"/>
      <c r="AQ25" s="23"/>
      <c r="BE25" s="149"/>
    </row>
    <row r="26" spans="2:57" s="6" customFormat="1" ht="27" customHeight="1">
      <c r="B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5">
        <f>ROUNDUP($AK$23+$AK$24,2)</f>
        <v>0</v>
      </c>
      <c r="AL26" s="156"/>
      <c r="AM26" s="156"/>
      <c r="AN26" s="156"/>
      <c r="AO26" s="156"/>
      <c r="AQ26" s="23"/>
      <c r="BE26" s="149"/>
    </row>
    <row r="27" spans="2:57" s="6" customFormat="1" ht="7.5" customHeight="1">
      <c r="B27" s="22"/>
      <c r="AQ27" s="23"/>
      <c r="BE27" s="149"/>
    </row>
    <row r="28" spans="2:57" s="6" customFormat="1" ht="15" customHeight="1">
      <c r="B28" s="26"/>
      <c r="D28" s="27" t="s">
        <v>42</v>
      </c>
      <c r="F28" s="27" t="s">
        <v>43</v>
      </c>
      <c r="L28" s="157">
        <v>0.21</v>
      </c>
      <c r="M28" s="150"/>
      <c r="N28" s="150"/>
      <c r="O28" s="150"/>
      <c r="T28" s="29" t="s">
        <v>44</v>
      </c>
      <c r="W28" s="158">
        <f>ROUNDUP($AZ$87+SUM($CD$91:$CD$104),2)</f>
        <v>0</v>
      </c>
      <c r="X28" s="150"/>
      <c r="Y28" s="150"/>
      <c r="Z28" s="150"/>
      <c r="AA28" s="150"/>
      <c r="AB28" s="150"/>
      <c r="AC28" s="150"/>
      <c r="AD28" s="150"/>
      <c r="AE28" s="150"/>
      <c r="AK28" s="158">
        <f>ROUNDUP($AV$87+SUM($BY$91:$BY$104),1)</f>
        <v>0</v>
      </c>
      <c r="AL28" s="150"/>
      <c r="AM28" s="150"/>
      <c r="AN28" s="150"/>
      <c r="AO28" s="150"/>
      <c r="AQ28" s="30"/>
      <c r="BE28" s="150"/>
    </row>
    <row r="29" spans="2:57" s="6" customFormat="1" ht="15" customHeight="1">
      <c r="B29" s="26"/>
      <c r="F29" s="27" t="s">
        <v>45</v>
      </c>
      <c r="L29" s="157">
        <v>0.15</v>
      </c>
      <c r="M29" s="150"/>
      <c r="N29" s="150"/>
      <c r="O29" s="150"/>
      <c r="T29" s="29" t="s">
        <v>44</v>
      </c>
      <c r="W29" s="158">
        <f>ROUNDUP($BA$87+SUM($CE$91:$CE$104),2)</f>
        <v>0</v>
      </c>
      <c r="X29" s="150"/>
      <c r="Y29" s="150"/>
      <c r="Z29" s="150"/>
      <c r="AA29" s="150"/>
      <c r="AB29" s="150"/>
      <c r="AC29" s="150"/>
      <c r="AD29" s="150"/>
      <c r="AE29" s="150"/>
      <c r="AK29" s="158">
        <f>ROUNDUP($AW$87+SUM($BZ$91:$BZ$104),1)</f>
        <v>0</v>
      </c>
      <c r="AL29" s="150"/>
      <c r="AM29" s="150"/>
      <c r="AN29" s="150"/>
      <c r="AO29" s="150"/>
      <c r="AQ29" s="30"/>
      <c r="BE29" s="150"/>
    </row>
    <row r="30" spans="2:57" s="6" customFormat="1" ht="15" customHeight="1" hidden="1">
      <c r="B30" s="26"/>
      <c r="F30" s="27" t="s">
        <v>46</v>
      </c>
      <c r="L30" s="157">
        <v>0.21</v>
      </c>
      <c r="M30" s="150"/>
      <c r="N30" s="150"/>
      <c r="O30" s="150"/>
      <c r="T30" s="29" t="s">
        <v>44</v>
      </c>
      <c r="W30" s="158">
        <f>ROUNDUP($BB$87+SUM($CF$91:$CF$104),2)</f>
        <v>0</v>
      </c>
      <c r="X30" s="150"/>
      <c r="Y30" s="150"/>
      <c r="Z30" s="150"/>
      <c r="AA30" s="150"/>
      <c r="AB30" s="150"/>
      <c r="AC30" s="150"/>
      <c r="AD30" s="150"/>
      <c r="AE30" s="150"/>
      <c r="AK30" s="158">
        <v>0</v>
      </c>
      <c r="AL30" s="150"/>
      <c r="AM30" s="150"/>
      <c r="AN30" s="150"/>
      <c r="AO30" s="150"/>
      <c r="AQ30" s="30"/>
      <c r="BE30" s="150"/>
    </row>
    <row r="31" spans="2:57" s="6" customFormat="1" ht="15" customHeight="1" hidden="1">
      <c r="B31" s="26"/>
      <c r="F31" s="27" t="s">
        <v>47</v>
      </c>
      <c r="L31" s="157">
        <v>0.15</v>
      </c>
      <c r="M31" s="150"/>
      <c r="N31" s="150"/>
      <c r="O31" s="150"/>
      <c r="T31" s="29" t="s">
        <v>44</v>
      </c>
      <c r="W31" s="158">
        <f>ROUNDUP($BC$87+SUM($CG$91:$CG$104),2)</f>
        <v>0</v>
      </c>
      <c r="X31" s="150"/>
      <c r="Y31" s="150"/>
      <c r="Z31" s="150"/>
      <c r="AA31" s="150"/>
      <c r="AB31" s="150"/>
      <c r="AC31" s="150"/>
      <c r="AD31" s="150"/>
      <c r="AE31" s="150"/>
      <c r="AK31" s="158">
        <v>0</v>
      </c>
      <c r="AL31" s="150"/>
      <c r="AM31" s="150"/>
      <c r="AN31" s="150"/>
      <c r="AO31" s="150"/>
      <c r="AQ31" s="30"/>
      <c r="BE31" s="150"/>
    </row>
    <row r="32" spans="2:57" s="6" customFormat="1" ht="15" customHeight="1" hidden="1">
      <c r="B32" s="26"/>
      <c r="F32" s="27" t="s">
        <v>48</v>
      </c>
      <c r="L32" s="157">
        <v>0</v>
      </c>
      <c r="M32" s="150"/>
      <c r="N32" s="150"/>
      <c r="O32" s="150"/>
      <c r="T32" s="29" t="s">
        <v>44</v>
      </c>
      <c r="W32" s="158">
        <f>ROUNDUP($BD$87+SUM($CH$91:$CH$104),2)</f>
        <v>0</v>
      </c>
      <c r="X32" s="150"/>
      <c r="Y32" s="150"/>
      <c r="Z32" s="150"/>
      <c r="AA32" s="150"/>
      <c r="AB32" s="150"/>
      <c r="AC32" s="150"/>
      <c r="AD32" s="150"/>
      <c r="AE32" s="150"/>
      <c r="AK32" s="158">
        <v>0</v>
      </c>
      <c r="AL32" s="150"/>
      <c r="AM32" s="150"/>
      <c r="AN32" s="150"/>
      <c r="AO32" s="150"/>
      <c r="AQ32" s="30"/>
      <c r="BE32" s="150"/>
    </row>
    <row r="33" spans="2:57" s="6" customFormat="1" ht="7.5" customHeight="1">
      <c r="B33" s="22"/>
      <c r="AQ33" s="23"/>
      <c r="BE33" s="149"/>
    </row>
    <row r="34" spans="2:57" s="6" customFormat="1" ht="27" customHeight="1">
      <c r="B34" s="22"/>
      <c r="C34" s="31"/>
      <c r="D34" s="32" t="s">
        <v>49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50</v>
      </c>
      <c r="U34" s="33"/>
      <c r="V34" s="33"/>
      <c r="W34" s="33"/>
      <c r="X34" s="159" t="s">
        <v>51</v>
      </c>
      <c r="Y34" s="160"/>
      <c r="Z34" s="160"/>
      <c r="AA34" s="160"/>
      <c r="AB34" s="160"/>
      <c r="AC34" s="33"/>
      <c r="AD34" s="33"/>
      <c r="AE34" s="33"/>
      <c r="AF34" s="33"/>
      <c r="AG34" s="33"/>
      <c r="AH34" s="33"/>
      <c r="AI34" s="33"/>
      <c r="AJ34" s="33"/>
      <c r="AK34" s="161">
        <f>ROUNDUP(SUM($AK$26:$AK$32),2)</f>
        <v>0</v>
      </c>
      <c r="AL34" s="160"/>
      <c r="AM34" s="160"/>
      <c r="AN34" s="160"/>
      <c r="AO34" s="162"/>
      <c r="AP34" s="31"/>
      <c r="AQ34" s="23"/>
      <c r="BE34" s="149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47" t="s">
        <v>58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23"/>
    </row>
    <row r="77" spans="2:43" s="15" customFormat="1" ht="15" customHeight="1">
      <c r="B77" s="50"/>
      <c r="C77" s="17" t="s">
        <v>13</v>
      </c>
      <c r="L77" s="15" t="str">
        <f>$K$5</f>
        <v>1326</v>
      </c>
      <c r="AQ77" s="51"/>
    </row>
    <row r="78" spans="2:43" s="52" customFormat="1" ht="37.5" customHeight="1">
      <c r="B78" s="53"/>
      <c r="C78" s="52" t="s">
        <v>16</v>
      </c>
      <c r="L78" s="163" t="str">
        <f>$K$6</f>
        <v>Poliklinika - stavební úpravy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 IV</v>
      </c>
      <c r="AI80" s="17" t="s">
        <v>24</v>
      </c>
      <c r="AM80" s="56" t="str">
        <f>IF($AN$8="","",$AN$8)</f>
        <v>11.06.2013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nám. 78, Kolín 1</v>
      </c>
      <c r="AI82" s="17" t="s">
        <v>34</v>
      </c>
      <c r="AM82" s="151" t="str">
        <f>IF($E$17="","",$E$17)</f>
        <v>Ing. Karel vrátný, Rubešova 60, Kolín 1</v>
      </c>
      <c r="AN82" s="149"/>
      <c r="AO82" s="149"/>
      <c r="AP82" s="149"/>
      <c r="AQ82" s="23"/>
      <c r="AS82" s="164" t="s">
        <v>59</v>
      </c>
      <c r="AT82" s="165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51" t="str">
        <f>IF($E$20="","",$E$20)</f>
        <v>Alena Vrátná</v>
      </c>
      <c r="AN83" s="149"/>
      <c r="AO83" s="149"/>
      <c r="AP83" s="149"/>
      <c r="AQ83" s="23"/>
      <c r="AS83" s="166"/>
      <c r="AT83" s="149"/>
      <c r="BD83" s="58"/>
    </row>
    <row r="84" spans="2:56" s="6" customFormat="1" ht="12" customHeight="1">
      <c r="B84" s="22"/>
      <c r="AQ84" s="23"/>
      <c r="AS84" s="166"/>
      <c r="AT84" s="149"/>
      <c r="BD84" s="58"/>
    </row>
    <row r="85" spans="2:57" s="6" customFormat="1" ht="30" customHeight="1">
      <c r="B85" s="22"/>
      <c r="C85" s="167" t="s">
        <v>60</v>
      </c>
      <c r="D85" s="160"/>
      <c r="E85" s="160"/>
      <c r="F85" s="160"/>
      <c r="G85" s="160"/>
      <c r="H85" s="33"/>
      <c r="I85" s="168" t="s">
        <v>61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8" t="s">
        <v>62</v>
      </c>
      <c r="AH85" s="160"/>
      <c r="AI85" s="160"/>
      <c r="AJ85" s="160"/>
      <c r="AK85" s="160"/>
      <c r="AL85" s="160"/>
      <c r="AM85" s="160"/>
      <c r="AN85" s="168" t="s">
        <v>63</v>
      </c>
      <c r="AO85" s="160"/>
      <c r="AP85" s="162"/>
      <c r="AQ85" s="23"/>
      <c r="AS85" s="59" t="s">
        <v>64</v>
      </c>
      <c r="AT85" s="60" t="s">
        <v>65</v>
      </c>
      <c r="AU85" s="60" t="s">
        <v>66</v>
      </c>
      <c r="AV85" s="60" t="s">
        <v>67</v>
      </c>
      <c r="AW85" s="60" t="s">
        <v>68</v>
      </c>
      <c r="AX85" s="60" t="s">
        <v>69</v>
      </c>
      <c r="AY85" s="60" t="s">
        <v>70</v>
      </c>
      <c r="AZ85" s="60" t="s">
        <v>71</v>
      </c>
      <c r="BA85" s="60" t="s">
        <v>72</v>
      </c>
      <c r="BB85" s="60" t="s">
        <v>73</v>
      </c>
      <c r="BC85" s="60" t="s">
        <v>74</v>
      </c>
      <c r="BD85" s="61" t="s">
        <v>75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6">
        <f>ROUNDUP($AG$88,2)</f>
        <v>0</v>
      </c>
      <c r="AH87" s="177"/>
      <c r="AI87" s="177"/>
      <c r="AJ87" s="177"/>
      <c r="AK87" s="177"/>
      <c r="AL87" s="177"/>
      <c r="AM87" s="177"/>
      <c r="AN87" s="176">
        <f>ROUNDUP(SUM($AG$87,$AT$87),2)</f>
        <v>0</v>
      </c>
      <c r="AO87" s="177"/>
      <c r="AP87" s="177"/>
      <c r="AQ87" s="54"/>
      <c r="AS87" s="65">
        <f>ROUNDUP($AS$88,2)</f>
        <v>0</v>
      </c>
      <c r="AT87" s="66">
        <f>ROUNDUP(SUM($AV$87:$AW$87),1)</f>
        <v>0</v>
      </c>
      <c r="AU87" s="67">
        <f>ROUNDUP($AU$88,5)</f>
        <v>211.69099</v>
      </c>
      <c r="AV87" s="66">
        <f>ROUNDUP($AZ$87*$L$28,2)</f>
        <v>0</v>
      </c>
      <c r="AW87" s="66">
        <f>ROUNDUP($BA$87*$L$29,2)</f>
        <v>0</v>
      </c>
      <c r="AX87" s="66">
        <f>ROUNDUP($BB$87*$L$28,2)</f>
        <v>0</v>
      </c>
      <c r="AY87" s="66">
        <f>ROUNDUP($BC$87*$L$29,2)</f>
        <v>0</v>
      </c>
      <c r="AZ87" s="66">
        <f>ROUNDUP($AZ$88,2)</f>
        <v>0</v>
      </c>
      <c r="BA87" s="66">
        <f>ROUNDUP($BA$88,2)</f>
        <v>0</v>
      </c>
      <c r="BB87" s="66">
        <f>ROUNDUP($BB$88,2)</f>
        <v>0</v>
      </c>
      <c r="BC87" s="66">
        <f>ROUNDUP($BC$88,2)</f>
        <v>0</v>
      </c>
      <c r="BD87" s="68">
        <f>ROUNDUP($BD$88,2)</f>
        <v>0</v>
      </c>
      <c r="BS87" s="52" t="s">
        <v>77</v>
      </c>
      <c r="BT87" s="52" t="s">
        <v>78</v>
      </c>
      <c r="BU87" s="69" t="s">
        <v>79</v>
      </c>
      <c r="BV87" s="52" t="s">
        <v>80</v>
      </c>
      <c r="BW87" s="52" t="s">
        <v>81</v>
      </c>
      <c r="BX87" s="52" t="s">
        <v>82</v>
      </c>
    </row>
    <row r="88" spans="1:76" s="70" customFormat="1" ht="28.5" customHeight="1">
      <c r="A88" s="209" t="s">
        <v>370</v>
      </c>
      <c r="B88" s="71"/>
      <c r="C88" s="72"/>
      <c r="D88" s="171" t="s">
        <v>83</v>
      </c>
      <c r="E88" s="172"/>
      <c r="F88" s="172"/>
      <c r="G88" s="172"/>
      <c r="H88" s="172"/>
      <c r="I88" s="72"/>
      <c r="J88" s="171" t="s">
        <v>84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69">
        <f>'1326 b - SO 05 - vstupní ...'!$M$27</f>
        <v>0</v>
      </c>
      <c r="AH88" s="170"/>
      <c r="AI88" s="170"/>
      <c r="AJ88" s="170"/>
      <c r="AK88" s="170"/>
      <c r="AL88" s="170"/>
      <c r="AM88" s="170"/>
      <c r="AN88" s="169">
        <f>ROUNDUP(SUM($AG$88,$AT$88),2)</f>
        <v>0</v>
      </c>
      <c r="AO88" s="170"/>
      <c r="AP88" s="170"/>
      <c r="AQ88" s="73"/>
      <c r="AS88" s="74">
        <f>'1326 b - SO 05 - vstupní ...'!$M$25</f>
        <v>0</v>
      </c>
      <c r="AT88" s="75">
        <f>ROUNDUP(SUM($AV$88:$AW$88),1)</f>
        <v>0</v>
      </c>
      <c r="AU88" s="76">
        <f>'1326 b - SO 05 - vstupní ...'!$W$130</f>
        <v>211.69098400000001</v>
      </c>
      <c r="AV88" s="75">
        <f>'1326 b - SO 05 - vstupní ...'!$M$29</f>
        <v>0</v>
      </c>
      <c r="AW88" s="75">
        <f>'1326 b - SO 05 - vstupní ...'!$M$30</f>
        <v>0</v>
      </c>
      <c r="AX88" s="75">
        <f>'1326 b - SO 05 - vstupní ...'!$M$31</f>
        <v>0</v>
      </c>
      <c r="AY88" s="75">
        <f>'1326 b - SO 05 - vstupní ...'!$M$32</f>
        <v>0</v>
      </c>
      <c r="AZ88" s="75">
        <f>'1326 b - SO 05 - vstupní ...'!$H$29</f>
        <v>0</v>
      </c>
      <c r="BA88" s="75">
        <f>'1326 b - SO 05 - vstupní ...'!$H$30</f>
        <v>0</v>
      </c>
      <c r="BB88" s="75">
        <f>'1326 b - SO 05 - vstupní ...'!$H$31</f>
        <v>0</v>
      </c>
      <c r="BC88" s="75">
        <f>'1326 b - SO 05 - vstupní ...'!$H$32</f>
        <v>0</v>
      </c>
      <c r="BD88" s="77">
        <f>'1326 b - SO 05 - vstupní ...'!$H$33</f>
        <v>0</v>
      </c>
      <c r="BT88" s="70" t="s">
        <v>21</v>
      </c>
      <c r="BV88" s="70" t="s">
        <v>80</v>
      </c>
      <c r="BW88" s="70" t="s">
        <v>85</v>
      </c>
      <c r="BX88" s="70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86</v>
      </c>
      <c r="AG90" s="176">
        <f>ROUNDUP(SUM($AG$91:$AG$103),2)</f>
        <v>0</v>
      </c>
      <c r="AH90" s="149"/>
      <c r="AI90" s="149"/>
      <c r="AJ90" s="149"/>
      <c r="AK90" s="149"/>
      <c r="AL90" s="149"/>
      <c r="AM90" s="149"/>
      <c r="AN90" s="176">
        <f>ROUNDUP(SUM($AN$91:$AN$103),2)</f>
        <v>0</v>
      </c>
      <c r="AO90" s="149"/>
      <c r="AP90" s="149"/>
      <c r="AQ90" s="23"/>
      <c r="AS90" s="59" t="s">
        <v>87</v>
      </c>
      <c r="AT90" s="60" t="s">
        <v>88</v>
      </c>
      <c r="AU90" s="60" t="s">
        <v>42</v>
      </c>
      <c r="AV90" s="61" t="s">
        <v>65</v>
      </c>
      <c r="AW90" s="62"/>
    </row>
    <row r="91" spans="2:89" s="6" customFormat="1" ht="21" customHeight="1">
      <c r="B91" s="22"/>
      <c r="D91" s="78" t="s">
        <v>89</v>
      </c>
      <c r="AG91" s="173">
        <f>ROUNDUP($AG$87*$AS$91,2)</f>
        <v>0</v>
      </c>
      <c r="AH91" s="149"/>
      <c r="AI91" s="149"/>
      <c r="AJ91" s="149"/>
      <c r="AK91" s="149"/>
      <c r="AL91" s="149"/>
      <c r="AM91" s="149"/>
      <c r="AN91" s="174">
        <f>ROUNDUP($AG$91+$AV$91,2)</f>
        <v>0</v>
      </c>
      <c r="AO91" s="149"/>
      <c r="AP91" s="149"/>
      <c r="AQ91" s="23"/>
      <c r="AS91" s="79">
        <v>0</v>
      </c>
      <c r="AT91" s="80" t="s">
        <v>90</v>
      </c>
      <c r="AU91" s="80" t="s">
        <v>43</v>
      </c>
      <c r="AV91" s="81">
        <f>ROUNDUP(IF($AU$91="základní",$AG$91*$L$28,IF($AU$91="snížená",$AG$91*$L$29,0)),2)</f>
        <v>0</v>
      </c>
      <c r="BV91" s="6" t="s">
        <v>91</v>
      </c>
      <c r="BY91" s="82">
        <f>IF($AU$91="základní",$AV$91,0)</f>
        <v>0</v>
      </c>
      <c r="BZ91" s="82">
        <f>IF($AU$91="snížená",$AV$91,0)</f>
        <v>0</v>
      </c>
      <c r="CA91" s="82">
        <v>0</v>
      </c>
      <c r="CB91" s="82">
        <v>0</v>
      </c>
      <c r="CC91" s="82">
        <v>0</v>
      </c>
      <c r="CD91" s="82">
        <f>IF($AU$91="základní",$AG$91,0)</f>
        <v>0</v>
      </c>
      <c r="CE91" s="82">
        <f>IF($AU$91="snížená",$AG$91,0)</f>
        <v>0</v>
      </c>
      <c r="CF91" s="82">
        <f>IF($AU$91="zákl. přenesená",$AG$91,0)</f>
        <v>0</v>
      </c>
      <c r="CG91" s="82">
        <f>IF($AU$91="sníž. přenesená",$AG$91,0)</f>
        <v>0</v>
      </c>
      <c r="CH91" s="82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8" t="s">
        <v>92</v>
      </c>
      <c r="AG92" s="173">
        <f>ROUNDUP($AG$87*$AS$92,2)</f>
        <v>0</v>
      </c>
      <c r="AH92" s="149"/>
      <c r="AI92" s="149"/>
      <c r="AJ92" s="149"/>
      <c r="AK92" s="149"/>
      <c r="AL92" s="149"/>
      <c r="AM92" s="149"/>
      <c r="AN92" s="174">
        <f>ROUNDUP($AG$92+$AV$92,2)</f>
        <v>0</v>
      </c>
      <c r="AO92" s="149"/>
      <c r="AP92" s="149"/>
      <c r="AQ92" s="23"/>
      <c r="AS92" s="83">
        <v>0</v>
      </c>
      <c r="AT92" s="84" t="s">
        <v>90</v>
      </c>
      <c r="AU92" s="84" t="s">
        <v>43</v>
      </c>
      <c r="AV92" s="85">
        <f>ROUNDUP(IF($AU$92="základní",$AG$92*$L$28,IF($AU$92="snížená",$AG$92*$L$29,0)),2)</f>
        <v>0</v>
      </c>
      <c r="BV92" s="6" t="s">
        <v>91</v>
      </c>
      <c r="BY92" s="82">
        <f>IF($AU$92="základní",$AV$92,0)</f>
        <v>0</v>
      </c>
      <c r="BZ92" s="82">
        <f>IF($AU$92="snížená",$AV$92,0)</f>
        <v>0</v>
      </c>
      <c r="CA92" s="82">
        <v>0</v>
      </c>
      <c r="CB92" s="82">
        <v>0</v>
      </c>
      <c r="CC92" s="82">
        <v>0</v>
      </c>
      <c r="CD92" s="82">
        <f>IF($AU$92="základní",$AG$92,0)</f>
        <v>0</v>
      </c>
      <c r="CE92" s="82">
        <f>IF($AU$92="snížená",$AG$92,0)</f>
        <v>0</v>
      </c>
      <c r="CF92" s="82">
        <f>IF($AU$92="zákl. přenesená",$AG$92,0)</f>
        <v>0</v>
      </c>
      <c r="CG92" s="82">
        <f>IF($AU$92="sníž. přenesená",$AG$92,0)</f>
        <v>0</v>
      </c>
      <c r="CH92" s="82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8" t="s">
        <v>93</v>
      </c>
      <c r="AG93" s="173">
        <f>ROUNDUP($AG$87*$AS$93,2)</f>
        <v>0</v>
      </c>
      <c r="AH93" s="149"/>
      <c r="AI93" s="149"/>
      <c r="AJ93" s="149"/>
      <c r="AK93" s="149"/>
      <c r="AL93" s="149"/>
      <c r="AM93" s="149"/>
      <c r="AN93" s="174">
        <f>ROUNDUP($AG$93+$AV$93,2)</f>
        <v>0</v>
      </c>
      <c r="AO93" s="149"/>
      <c r="AP93" s="149"/>
      <c r="AQ93" s="23"/>
      <c r="AS93" s="83">
        <v>0</v>
      </c>
      <c r="AT93" s="84" t="s">
        <v>90</v>
      </c>
      <c r="AU93" s="84" t="s">
        <v>43</v>
      </c>
      <c r="AV93" s="85">
        <f>ROUNDUP(IF($AU$93="základní",$AG$93*$L$28,IF($AU$93="snížená",$AG$93*$L$29,0)),2)</f>
        <v>0</v>
      </c>
      <c r="BV93" s="6" t="s">
        <v>91</v>
      </c>
      <c r="BY93" s="82">
        <f>IF($AU$93="základní",$AV$93,0)</f>
        <v>0</v>
      </c>
      <c r="BZ93" s="82">
        <f>IF($AU$93="snížená",$AV$93,0)</f>
        <v>0</v>
      </c>
      <c r="CA93" s="82">
        <v>0</v>
      </c>
      <c r="CB93" s="82">
        <v>0</v>
      </c>
      <c r="CC93" s="82">
        <v>0</v>
      </c>
      <c r="CD93" s="82">
        <f>IF($AU$93="základní",$AG$93,0)</f>
        <v>0</v>
      </c>
      <c r="CE93" s="82">
        <f>IF($AU$93="snížená",$AG$93,0)</f>
        <v>0</v>
      </c>
      <c r="CF93" s="82">
        <f>IF($AU$93="zákl. přenesená",$AG$93,0)</f>
        <v>0</v>
      </c>
      <c r="CG93" s="82">
        <f>IF($AU$93="sníž. přenesená",$AG$93,0)</f>
        <v>0</v>
      </c>
      <c r="CH93" s="82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8" t="s">
        <v>94</v>
      </c>
      <c r="AG94" s="173">
        <f>ROUNDUP($AG$87*$AS$94,2)</f>
        <v>0</v>
      </c>
      <c r="AH94" s="149"/>
      <c r="AI94" s="149"/>
      <c r="AJ94" s="149"/>
      <c r="AK94" s="149"/>
      <c r="AL94" s="149"/>
      <c r="AM94" s="149"/>
      <c r="AN94" s="174">
        <f>ROUNDUP($AG$94+$AV$94,2)</f>
        <v>0</v>
      </c>
      <c r="AO94" s="149"/>
      <c r="AP94" s="149"/>
      <c r="AQ94" s="23"/>
      <c r="AS94" s="83">
        <v>0</v>
      </c>
      <c r="AT94" s="84" t="s">
        <v>90</v>
      </c>
      <c r="AU94" s="84" t="s">
        <v>43</v>
      </c>
      <c r="AV94" s="85">
        <f>ROUNDUP(IF($AU$94="základní",$AG$94*$L$28,IF($AU$94="snížená",$AG$94*$L$29,0)),2)</f>
        <v>0</v>
      </c>
      <c r="BV94" s="6" t="s">
        <v>91</v>
      </c>
      <c r="BY94" s="82">
        <f>IF($AU$94="základní",$AV$94,0)</f>
        <v>0</v>
      </c>
      <c r="BZ94" s="82">
        <f>IF($AU$94="snížená",$AV$94,0)</f>
        <v>0</v>
      </c>
      <c r="CA94" s="82">
        <v>0</v>
      </c>
      <c r="CB94" s="82">
        <v>0</v>
      </c>
      <c r="CC94" s="82"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přenesená",$AG$94,0)</f>
        <v>0</v>
      </c>
      <c r="CG94" s="82">
        <f>IF($AU$94="sníž. přenesená",$AG$94,0)</f>
        <v>0</v>
      </c>
      <c r="CH94" s="8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8" t="s">
        <v>95</v>
      </c>
      <c r="AG95" s="173">
        <f>ROUNDUP($AG$87*$AS$95,2)</f>
        <v>0</v>
      </c>
      <c r="AH95" s="149"/>
      <c r="AI95" s="149"/>
      <c r="AJ95" s="149"/>
      <c r="AK95" s="149"/>
      <c r="AL95" s="149"/>
      <c r="AM95" s="149"/>
      <c r="AN95" s="174">
        <f>ROUNDUP($AG$95+$AV$95,2)</f>
        <v>0</v>
      </c>
      <c r="AO95" s="149"/>
      <c r="AP95" s="149"/>
      <c r="AQ95" s="23"/>
      <c r="AS95" s="83">
        <v>0</v>
      </c>
      <c r="AT95" s="84" t="s">
        <v>90</v>
      </c>
      <c r="AU95" s="84" t="s">
        <v>43</v>
      </c>
      <c r="AV95" s="85">
        <f>ROUNDUP(IF($AU$95="základní",$AG$95*$L$28,IF($AU$95="snížená",$AG$95*$L$29,0)),2)</f>
        <v>0</v>
      </c>
      <c r="BV95" s="6" t="s">
        <v>91</v>
      </c>
      <c r="BY95" s="82">
        <f>IF($AU$95="základní",$AV$95,0)</f>
        <v>0</v>
      </c>
      <c r="BZ95" s="82">
        <f>IF($AU$95="snížená",$AV$95,0)</f>
        <v>0</v>
      </c>
      <c r="CA95" s="82">
        <v>0</v>
      </c>
      <c r="CB95" s="82">
        <v>0</v>
      </c>
      <c r="CC95" s="82">
        <v>0</v>
      </c>
      <c r="CD95" s="82">
        <f>IF($AU$95="základní",$AG$95,0)</f>
        <v>0</v>
      </c>
      <c r="CE95" s="82">
        <f>IF($AU$95="snížená",$AG$95,0)</f>
        <v>0</v>
      </c>
      <c r="CF95" s="82">
        <f>IF($AU$95="zákl. přenesená",$AG$95,0)</f>
        <v>0</v>
      </c>
      <c r="CG95" s="82">
        <f>IF($AU$95="sníž. přenesená",$AG$95,0)</f>
        <v>0</v>
      </c>
      <c r="CH95" s="8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8" t="s">
        <v>96</v>
      </c>
      <c r="AG96" s="173">
        <f>ROUNDUP($AG$87*$AS$96,2)</f>
        <v>0</v>
      </c>
      <c r="AH96" s="149"/>
      <c r="AI96" s="149"/>
      <c r="AJ96" s="149"/>
      <c r="AK96" s="149"/>
      <c r="AL96" s="149"/>
      <c r="AM96" s="149"/>
      <c r="AN96" s="174">
        <f>ROUNDUP($AG$96+$AV$96,2)</f>
        <v>0</v>
      </c>
      <c r="AO96" s="149"/>
      <c r="AP96" s="149"/>
      <c r="AQ96" s="23"/>
      <c r="AS96" s="83">
        <v>0</v>
      </c>
      <c r="AT96" s="84" t="s">
        <v>90</v>
      </c>
      <c r="AU96" s="84" t="s">
        <v>43</v>
      </c>
      <c r="AV96" s="85">
        <f>ROUNDUP(IF($AU$96="základní",$AG$96*$L$28,IF($AU$96="snížená",$AG$96*$L$29,0)),2)</f>
        <v>0</v>
      </c>
      <c r="BV96" s="6" t="s">
        <v>91</v>
      </c>
      <c r="BY96" s="82">
        <f>IF($AU$96="základní",$AV$96,0)</f>
        <v>0</v>
      </c>
      <c r="BZ96" s="82">
        <f>IF($AU$96="snížená",$AV$96,0)</f>
        <v>0</v>
      </c>
      <c r="CA96" s="82">
        <v>0</v>
      </c>
      <c r="CB96" s="82">
        <v>0</v>
      </c>
      <c r="CC96" s="82">
        <v>0</v>
      </c>
      <c r="CD96" s="82">
        <f>IF($AU$96="základní",$AG$96,0)</f>
        <v>0</v>
      </c>
      <c r="CE96" s="82">
        <f>IF($AU$96="snížená",$AG$96,0)</f>
        <v>0</v>
      </c>
      <c r="CF96" s="82">
        <f>IF($AU$96="zákl. přenesená",$AG$96,0)</f>
        <v>0</v>
      </c>
      <c r="CG96" s="82">
        <f>IF($AU$96="sníž. přenesená",$AG$96,0)</f>
        <v>0</v>
      </c>
      <c r="CH96" s="8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8" t="s">
        <v>97</v>
      </c>
      <c r="AG97" s="173">
        <f>ROUNDUP($AG$87*$AS$97,2)</f>
        <v>0</v>
      </c>
      <c r="AH97" s="149"/>
      <c r="AI97" s="149"/>
      <c r="AJ97" s="149"/>
      <c r="AK97" s="149"/>
      <c r="AL97" s="149"/>
      <c r="AM97" s="149"/>
      <c r="AN97" s="174">
        <f>ROUNDUP($AG$97+$AV$97,2)</f>
        <v>0</v>
      </c>
      <c r="AO97" s="149"/>
      <c r="AP97" s="149"/>
      <c r="AQ97" s="23"/>
      <c r="AS97" s="83">
        <v>0</v>
      </c>
      <c r="AT97" s="84" t="s">
        <v>90</v>
      </c>
      <c r="AU97" s="84" t="s">
        <v>43</v>
      </c>
      <c r="AV97" s="85">
        <f>ROUNDUP(IF($AU$97="základní",$AG$97*$L$28,IF($AU$97="snížená",$AG$97*$L$29,0)),2)</f>
        <v>0</v>
      </c>
      <c r="BV97" s="6" t="s">
        <v>91</v>
      </c>
      <c r="BY97" s="82">
        <f>IF($AU$97="základní",$AV$97,0)</f>
        <v>0</v>
      </c>
      <c r="BZ97" s="82">
        <f>IF($AU$97="snížená",$AV$97,0)</f>
        <v>0</v>
      </c>
      <c r="CA97" s="82">
        <v>0</v>
      </c>
      <c r="CB97" s="82">
        <v>0</v>
      </c>
      <c r="CC97" s="82">
        <v>0</v>
      </c>
      <c r="CD97" s="82">
        <f>IF($AU$97="základní",$AG$97,0)</f>
        <v>0</v>
      </c>
      <c r="CE97" s="82">
        <f>IF($AU$97="snížená",$AG$97,0)</f>
        <v>0</v>
      </c>
      <c r="CF97" s="82">
        <f>IF($AU$97="zákl. přenesená",$AG$97,0)</f>
        <v>0</v>
      </c>
      <c r="CG97" s="82">
        <f>IF($AU$97="sníž. přenesená",$AG$97,0)</f>
        <v>0</v>
      </c>
      <c r="CH97" s="8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8" t="s">
        <v>98</v>
      </c>
      <c r="AG98" s="173">
        <f>ROUNDUP($AG$87*$AS$98,2)</f>
        <v>0</v>
      </c>
      <c r="AH98" s="149"/>
      <c r="AI98" s="149"/>
      <c r="AJ98" s="149"/>
      <c r="AK98" s="149"/>
      <c r="AL98" s="149"/>
      <c r="AM98" s="149"/>
      <c r="AN98" s="174">
        <f>ROUNDUP($AG$98+$AV$98,2)</f>
        <v>0</v>
      </c>
      <c r="AO98" s="149"/>
      <c r="AP98" s="149"/>
      <c r="AQ98" s="23"/>
      <c r="AS98" s="83">
        <v>0</v>
      </c>
      <c r="AT98" s="84" t="s">
        <v>90</v>
      </c>
      <c r="AU98" s="84" t="s">
        <v>43</v>
      </c>
      <c r="AV98" s="85">
        <f>ROUNDUP(IF($AU$98="základní",$AG$98*$L$28,IF($AU$98="snížená",$AG$98*$L$29,0)),2)</f>
        <v>0</v>
      </c>
      <c r="BV98" s="6" t="s">
        <v>91</v>
      </c>
      <c r="BY98" s="82">
        <f>IF($AU$98="základní",$AV$98,0)</f>
        <v>0</v>
      </c>
      <c r="BZ98" s="82">
        <f>IF($AU$98="snížená",$AV$98,0)</f>
        <v>0</v>
      </c>
      <c r="CA98" s="82">
        <v>0</v>
      </c>
      <c r="CB98" s="82">
        <v>0</v>
      </c>
      <c r="CC98" s="82">
        <v>0</v>
      </c>
      <c r="CD98" s="82">
        <f>IF($AU$98="základní",$AG$98,0)</f>
        <v>0</v>
      </c>
      <c r="CE98" s="82">
        <f>IF($AU$98="snížená",$AG$98,0)</f>
        <v>0</v>
      </c>
      <c r="CF98" s="82">
        <f>IF($AU$98="zákl. přenesená",$AG$98,0)</f>
        <v>0</v>
      </c>
      <c r="CG98" s="82">
        <f>IF($AU$98="sníž. přenesená",$AG$98,0)</f>
        <v>0</v>
      </c>
      <c r="CH98" s="8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8" t="s">
        <v>99</v>
      </c>
      <c r="AG99" s="173">
        <f>ROUNDUP($AG$87*$AS$99,2)</f>
        <v>0</v>
      </c>
      <c r="AH99" s="149"/>
      <c r="AI99" s="149"/>
      <c r="AJ99" s="149"/>
      <c r="AK99" s="149"/>
      <c r="AL99" s="149"/>
      <c r="AM99" s="149"/>
      <c r="AN99" s="174">
        <f>ROUNDUP($AG$99+$AV$99,2)</f>
        <v>0</v>
      </c>
      <c r="AO99" s="149"/>
      <c r="AP99" s="149"/>
      <c r="AQ99" s="23"/>
      <c r="AS99" s="83">
        <v>0</v>
      </c>
      <c r="AT99" s="84" t="s">
        <v>90</v>
      </c>
      <c r="AU99" s="84" t="s">
        <v>43</v>
      </c>
      <c r="AV99" s="85">
        <f>ROUNDUP(IF($AU$99="základní",$AG$99*$L$28,IF($AU$99="snížená",$AG$99*$L$29,0)),2)</f>
        <v>0</v>
      </c>
      <c r="BV99" s="6" t="s">
        <v>91</v>
      </c>
      <c r="BY99" s="82">
        <f>IF($AU$99="základní",$AV$99,0)</f>
        <v>0</v>
      </c>
      <c r="BZ99" s="82">
        <f>IF($AU$99="snížená",$AV$99,0)</f>
        <v>0</v>
      </c>
      <c r="CA99" s="82">
        <v>0</v>
      </c>
      <c r="CB99" s="82">
        <v>0</v>
      </c>
      <c r="CC99" s="82">
        <v>0</v>
      </c>
      <c r="CD99" s="82">
        <f>IF($AU$99="základní",$AG$99,0)</f>
        <v>0</v>
      </c>
      <c r="CE99" s="82">
        <f>IF($AU$99="snížená",$AG$99,0)</f>
        <v>0</v>
      </c>
      <c r="CF99" s="82">
        <f>IF($AU$99="zákl. přenesená",$AG$99,0)</f>
        <v>0</v>
      </c>
      <c r="CG99" s="82">
        <f>IF($AU$99="sníž. přenesená",$AG$99,0)</f>
        <v>0</v>
      </c>
      <c r="CH99" s="8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8" t="s">
        <v>100</v>
      </c>
      <c r="AG100" s="173">
        <f>ROUNDUP($AG$87*$AS$100,2)</f>
        <v>0</v>
      </c>
      <c r="AH100" s="149"/>
      <c r="AI100" s="149"/>
      <c r="AJ100" s="149"/>
      <c r="AK100" s="149"/>
      <c r="AL100" s="149"/>
      <c r="AM100" s="149"/>
      <c r="AN100" s="174">
        <f>ROUNDUP($AG$100+$AV$100,2)</f>
        <v>0</v>
      </c>
      <c r="AO100" s="149"/>
      <c r="AP100" s="149"/>
      <c r="AQ100" s="23"/>
      <c r="AS100" s="83">
        <v>0</v>
      </c>
      <c r="AT100" s="84" t="s">
        <v>90</v>
      </c>
      <c r="AU100" s="84" t="s">
        <v>43</v>
      </c>
      <c r="AV100" s="85">
        <f>ROUNDUP(IF($AU$100="základní",$AG$100*$L$28,IF($AU$100="snížená",$AG$100*$L$29,0)),2)</f>
        <v>0</v>
      </c>
      <c r="BV100" s="6" t="s">
        <v>91</v>
      </c>
      <c r="BY100" s="82">
        <f>IF($AU$100="základní",$AV$100,0)</f>
        <v>0</v>
      </c>
      <c r="BZ100" s="82">
        <f>IF($AU$100="snížená",$AV$100,0)</f>
        <v>0</v>
      </c>
      <c r="CA100" s="82">
        <v>0</v>
      </c>
      <c r="CB100" s="82">
        <v>0</v>
      </c>
      <c r="CC100" s="82">
        <v>0</v>
      </c>
      <c r="CD100" s="82">
        <f>IF($AU$100="základní",$AG$100,0)</f>
        <v>0</v>
      </c>
      <c r="CE100" s="82">
        <f>IF($AU$100="snížená",$AG$100,0)</f>
        <v>0</v>
      </c>
      <c r="CF100" s="82">
        <f>IF($AU$100="zákl. přenesená",$AG$100,0)</f>
        <v>0</v>
      </c>
      <c r="CG100" s="82">
        <f>IF($AU$100="sníž. přenesená",$AG$100,0)</f>
        <v>0</v>
      </c>
      <c r="CH100" s="8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75" t="s">
        <v>101</v>
      </c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G101" s="173">
        <f>$AG$87*$AS$101</f>
        <v>0</v>
      </c>
      <c r="AH101" s="149"/>
      <c r="AI101" s="149"/>
      <c r="AJ101" s="149"/>
      <c r="AK101" s="149"/>
      <c r="AL101" s="149"/>
      <c r="AM101" s="149"/>
      <c r="AN101" s="174">
        <f>$AG$101+$AV$101</f>
        <v>0</v>
      </c>
      <c r="AO101" s="149"/>
      <c r="AP101" s="149"/>
      <c r="AQ101" s="23"/>
      <c r="AS101" s="83">
        <v>0</v>
      </c>
      <c r="AT101" s="84" t="s">
        <v>90</v>
      </c>
      <c r="AU101" s="84" t="s">
        <v>43</v>
      </c>
      <c r="AV101" s="85">
        <f>ROUNDUP(IF($AU$101="nulová",0,IF(OR($AU$101="základní",$AU$101="zákl. přenesená"),$AG$101*$L$28,$AG$101*$L$29)),1)</f>
        <v>0</v>
      </c>
      <c r="BV101" s="6" t="s">
        <v>102</v>
      </c>
      <c r="BY101" s="82">
        <f>IF($AU$101="základní",$AV$101,0)</f>
        <v>0</v>
      </c>
      <c r="BZ101" s="82">
        <f>IF($AU$101="snížená",$AV$101,0)</f>
        <v>0</v>
      </c>
      <c r="CA101" s="82">
        <f>IF($AU$101="zákl. přenesená",$AV$101,0)</f>
        <v>0</v>
      </c>
      <c r="CB101" s="82">
        <f>IF($AU$101="sníž. přenesená",$AV$101,0)</f>
        <v>0</v>
      </c>
      <c r="CC101" s="82">
        <f>IF($AU$101="nulová",$AV$101,0)</f>
        <v>0</v>
      </c>
      <c r="CD101" s="82">
        <f>IF($AU$101="základní",$AG$101,0)</f>
        <v>0</v>
      </c>
      <c r="CE101" s="82">
        <f>IF($AU$101="snížená",$AG$101,0)</f>
        <v>0</v>
      </c>
      <c r="CF101" s="82">
        <f>IF($AU$101="zákl. přenesená",$AG$101,0)</f>
        <v>0</v>
      </c>
      <c r="CG101" s="82">
        <f>IF($AU$101="sníž. přenesená",$AG$101,0)</f>
        <v>0</v>
      </c>
      <c r="CH101" s="8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75" t="s">
        <v>101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G102" s="173">
        <f>$AG$87*$AS$102</f>
        <v>0</v>
      </c>
      <c r="AH102" s="149"/>
      <c r="AI102" s="149"/>
      <c r="AJ102" s="149"/>
      <c r="AK102" s="149"/>
      <c r="AL102" s="149"/>
      <c r="AM102" s="149"/>
      <c r="AN102" s="174">
        <f>$AG$102+$AV$102</f>
        <v>0</v>
      </c>
      <c r="AO102" s="149"/>
      <c r="AP102" s="149"/>
      <c r="AQ102" s="23"/>
      <c r="AS102" s="83">
        <v>0</v>
      </c>
      <c r="AT102" s="84" t="s">
        <v>90</v>
      </c>
      <c r="AU102" s="84" t="s">
        <v>43</v>
      </c>
      <c r="AV102" s="85">
        <f>ROUNDUP(IF($AU$102="nulová",0,IF(OR($AU$102="základní",$AU$102="zákl. přenesená"),$AG$102*$L$28,$AG$102*$L$29)),1)</f>
        <v>0</v>
      </c>
      <c r="BV102" s="6" t="s">
        <v>102</v>
      </c>
      <c r="BY102" s="82">
        <f>IF($AU$102="základní",$AV$102,0)</f>
        <v>0</v>
      </c>
      <c r="BZ102" s="82">
        <f>IF($AU$102="snížená",$AV$102,0)</f>
        <v>0</v>
      </c>
      <c r="CA102" s="82">
        <f>IF($AU$102="zákl. přenesená",$AV$102,0)</f>
        <v>0</v>
      </c>
      <c r="CB102" s="82">
        <f>IF($AU$102="sníž. přenesená",$AV$102,0)</f>
        <v>0</v>
      </c>
      <c r="CC102" s="82">
        <f>IF($AU$102="nulová",$AV$102,0)</f>
        <v>0</v>
      </c>
      <c r="CD102" s="82">
        <f>IF($AU$102="základní",$AG$102,0)</f>
        <v>0</v>
      </c>
      <c r="CE102" s="82">
        <f>IF($AU$102="snížená",$AG$102,0)</f>
        <v>0</v>
      </c>
      <c r="CF102" s="82">
        <f>IF($AU$102="zákl. přenesená",$AG$102,0)</f>
        <v>0</v>
      </c>
      <c r="CG102" s="82">
        <f>IF($AU$102="sníž. přenesená",$AG$102,0)</f>
        <v>0</v>
      </c>
      <c r="CH102" s="8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75" t="s">
        <v>101</v>
      </c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G103" s="173">
        <f>$AG$87*$AS$103</f>
        <v>0</v>
      </c>
      <c r="AH103" s="149"/>
      <c r="AI103" s="149"/>
      <c r="AJ103" s="149"/>
      <c r="AK103" s="149"/>
      <c r="AL103" s="149"/>
      <c r="AM103" s="149"/>
      <c r="AN103" s="174">
        <f>$AG$103+$AV$103</f>
        <v>0</v>
      </c>
      <c r="AO103" s="149"/>
      <c r="AP103" s="149"/>
      <c r="AQ103" s="23"/>
      <c r="AS103" s="86">
        <v>0</v>
      </c>
      <c r="AT103" s="87" t="s">
        <v>90</v>
      </c>
      <c r="AU103" s="87" t="s">
        <v>43</v>
      </c>
      <c r="AV103" s="88">
        <f>ROUNDUP(IF($AU$103="nulová",0,IF(OR($AU$103="základní",$AU$103="zákl. přenesená"),$AG$103*$L$28,$AG$103*$L$29)),1)</f>
        <v>0</v>
      </c>
      <c r="BV103" s="6" t="s">
        <v>102</v>
      </c>
      <c r="BY103" s="82">
        <f>IF($AU$103="základní",$AV$103,0)</f>
        <v>0</v>
      </c>
      <c r="BZ103" s="82">
        <f>IF($AU$103="snížená",$AV$103,0)</f>
        <v>0</v>
      </c>
      <c r="CA103" s="82">
        <f>IF($AU$103="zákl. přenesená",$AV$103,0)</f>
        <v>0</v>
      </c>
      <c r="CB103" s="82">
        <f>IF($AU$103="sníž. přenesená",$AV$103,0)</f>
        <v>0</v>
      </c>
      <c r="CC103" s="82">
        <f>IF($AU$103="nulová",$AV$103,0)</f>
        <v>0</v>
      </c>
      <c r="CD103" s="82">
        <f>IF($AU$103="základní",$AG$103,0)</f>
        <v>0</v>
      </c>
      <c r="CE103" s="82">
        <f>IF($AU$103="snížená",$AG$103,0)</f>
        <v>0</v>
      </c>
      <c r="CF103" s="82">
        <f>IF($AU$103="zákl. přenesená",$AG$103,0)</f>
        <v>0</v>
      </c>
      <c r="CG103" s="82">
        <f>IF($AU$103="sníž. přenesená",$AG$103,0)</f>
        <v>0</v>
      </c>
      <c r="CH103" s="8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9" t="s">
        <v>103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78">
        <f>ROUNDUP($AG$87+$AG$90,2)</f>
        <v>0</v>
      </c>
      <c r="AH105" s="179"/>
      <c r="AI105" s="179"/>
      <c r="AJ105" s="179"/>
      <c r="AK105" s="179"/>
      <c r="AL105" s="179"/>
      <c r="AM105" s="179"/>
      <c r="AN105" s="178">
        <f>ROUNDUP($AN$87+$AN$90,2)</f>
        <v>0</v>
      </c>
      <c r="AO105" s="179"/>
      <c r="AP105" s="179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sheetProtection/>
  <mergeCells count="75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26 b - SO 05 - vstupní ...'!C2" tooltip="1326 b - SO 05 - vstup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4"/>
      <c r="B1" s="211"/>
      <c r="C1" s="211"/>
      <c r="D1" s="212" t="s">
        <v>1</v>
      </c>
      <c r="E1" s="211"/>
      <c r="F1" s="213" t="s">
        <v>371</v>
      </c>
      <c r="G1" s="213"/>
      <c r="H1" s="215" t="s">
        <v>372</v>
      </c>
      <c r="I1" s="215"/>
      <c r="J1" s="215"/>
      <c r="K1" s="215"/>
      <c r="L1" s="213" t="s">
        <v>373</v>
      </c>
      <c r="M1" s="211"/>
      <c r="N1" s="211"/>
      <c r="O1" s="212" t="s">
        <v>104</v>
      </c>
      <c r="P1" s="211"/>
      <c r="Q1" s="211"/>
      <c r="R1" s="211"/>
      <c r="S1" s="213" t="s">
        <v>374</v>
      </c>
      <c r="T1" s="213"/>
      <c r="U1" s="214"/>
      <c r="V1" s="2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80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105</v>
      </c>
    </row>
    <row r="4" spans="2:46" s="2" customFormat="1" ht="37.5" customHeight="1">
      <c r="B4" s="10"/>
      <c r="C4" s="147" t="s">
        <v>106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16</v>
      </c>
      <c r="F6" s="181" t="str">
        <f>'Rekapitulace stavby'!$K$6</f>
        <v>Poliklinika - stavební úpravy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22"/>
      <c r="D7" s="16" t="s">
        <v>107</v>
      </c>
      <c r="F7" s="152" t="s">
        <v>84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182" t="str">
        <f>'Rekapitulace stavby'!$AN$8</f>
        <v>11.06.2013</v>
      </c>
      <c r="P9" s="149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51"/>
      <c r="P11" s="149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51"/>
      <c r="P12" s="149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183" t="str">
        <f>IF('Rekapitulace stavby'!$AN$13="","",'Rekapitulace stavby'!$AN$13)</f>
        <v>Vyplň údaj</v>
      </c>
      <c r="P14" s="149"/>
      <c r="R14" s="23"/>
    </row>
    <row r="15" spans="2:18" s="6" customFormat="1" ht="18.75" customHeight="1">
      <c r="B15" s="22"/>
      <c r="E15" s="183" t="str">
        <f>IF('Rekapitulace stavby'!$E$14="","",'Rekapitulace stavby'!$E$14)</f>
        <v>Vyplň údaj</v>
      </c>
      <c r="F15" s="149"/>
      <c r="G15" s="149"/>
      <c r="H15" s="149"/>
      <c r="I15" s="149"/>
      <c r="J15" s="149"/>
      <c r="K15" s="149"/>
      <c r="L15" s="149"/>
      <c r="M15" s="17" t="s">
        <v>31</v>
      </c>
      <c r="O15" s="183" t="str">
        <f>IF('Rekapitulace stavby'!$AN$14="","",'Rekapitulace stavby'!$AN$14)</f>
        <v>Vyplň údaj</v>
      </c>
      <c r="P15" s="149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51"/>
      <c r="P17" s="149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51"/>
      <c r="P18" s="149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51"/>
      <c r="P20" s="149"/>
      <c r="R20" s="23"/>
    </row>
    <row r="21" spans="2:18" s="6" customFormat="1" ht="18.75" customHeight="1">
      <c r="B21" s="22"/>
      <c r="E21" s="15" t="s">
        <v>38</v>
      </c>
      <c r="M21" s="17" t="s">
        <v>31</v>
      </c>
      <c r="O21" s="151"/>
      <c r="P21" s="149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90" t="s">
        <v>108</v>
      </c>
      <c r="M24" s="154">
        <f>$N$88</f>
        <v>0</v>
      </c>
      <c r="N24" s="149"/>
      <c r="O24" s="149"/>
      <c r="P24" s="149"/>
      <c r="R24" s="23"/>
    </row>
    <row r="25" spans="2:18" s="6" customFormat="1" ht="15" customHeight="1">
      <c r="B25" s="22"/>
      <c r="D25" s="21" t="s">
        <v>96</v>
      </c>
      <c r="M25" s="154">
        <f>$N$105</f>
        <v>0</v>
      </c>
      <c r="N25" s="149"/>
      <c r="O25" s="149"/>
      <c r="P25" s="149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1" t="s">
        <v>41</v>
      </c>
      <c r="M27" s="184">
        <f>ROUNDUP($M$24+$M$25,2)</f>
        <v>0</v>
      </c>
      <c r="N27" s="149"/>
      <c r="O27" s="149"/>
      <c r="P27" s="149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7" t="s">
        <v>42</v>
      </c>
      <c r="E29" s="27" t="s">
        <v>43</v>
      </c>
      <c r="F29" s="28">
        <v>0.21</v>
      </c>
      <c r="G29" s="92" t="s">
        <v>44</v>
      </c>
      <c r="H29" s="185">
        <f>ROUNDUP((((SUM($BE$105:$BE$112)+SUM($BE$130:$BE$220))+SUM($BE$222:$BE$226))),2)</f>
        <v>0</v>
      </c>
      <c r="I29" s="149"/>
      <c r="J29" s="149"/>
      <c r="M29" s="185">
        <f>ROUNDUP((((SUM($BE$105:$BE$112)+SUM($BE$130:$BE$220))*$F$29)+SUM($BE$222:$BE$226)*$F$29),1)</f>
        <v>0</v>
      </c>
      <c r="N29" s="149"/>
      <c r="O29" s="149"/>
      <c r="P29" s="149"/>
      <c r="R29" s="23"/>
    </row>
    <row r="30" spans="2:18" s="6" customFormat="1" ht="15" customHeight="1">
      <c r="B30" s="22"/>
      <c r="E30" s="27" t="s">
        <v>45</v>
      </c>
      <c r="F30" s="28">
        <v>0.15</v>
      </c>
      <c r="G30" s="92" t="s">
        <v>44</v>
      </c>
      <c r="H30" s="185">
        <f>ROUNDUP((((SUM($BF$105:$BF$112)+SUM($BF$130:$BF$220))+SUM($BF$222:$BF$226))),2)</f>
        <v>0</v>
      </c>
      <c r="I30" s="149"/>
      <c r="J30" s="149"/>
      <c r="M30" s="185">
        <f>ROUNDUP((((SUM($BF$105:$BF$112)+SUM($BF$130:$BF$220))*$F$30)+SUM($BF$222:$BF$226)*$F$30),1)</f>
        <v>0</v>
      </c>
      <c r="N30" s="149"/>
      <c r="O30" s="149"/>
      <c r="P30" s="149"/>
      <c r="R30" s="23"/>
    </row>
    <row r="31" spans="2:18" s="6" customFormat="1" ht="15" customHeight="1" hidden="1">
      <c r="B31" s="22"/>
      <c r="E31" s="27" t="s">
        <v>46</v>
      </c>
      <c r="F31" s="28">
        <v>0.21</v>
      </c>
      <c r="G31" s="92" t="s">
        <v>44</v>
      </c>
      <c r="H31" s="185">
        <f>ROUNDUP((((SUM($BG$105:$BG$112)+SUM($BG$130:$BG$220))+SUM($BG$222:$BG$226))),2)</f>
        <v>0</v>
      </c>
      <c r="I31" s="149"/>
      <c r="J31" s="149"/>
      <c r="M31" s="185">
        <v>0</v>
      </c>
      <c r="N31" s="149"/>
      <c r="O31" s="149"/>
      <c r="P31" s="149"/>
      <c r="R31" s="23"/>
    </row>
    <row r="32" spans="2:18" s="6" customFormat="1" ht="15" customHeight="1" hidden="1">
      <c r="B32" s="22"/>
      <c r="E32" s="27" t="s">
        <v>47</v>
      </c>
      <c r="F32" s="28">
        <v>0.15</v>
      </c>
      <c r="G32" s="92" t="s">
        <v>44</v>
      </c>
      <c r="H32" s="185">
        <f>ROUNDUP((((SUM($BH$105:$BH$112)+SUM($BH$130:$BH$220))+SUM($BH$222:$BH$226))),2)</f>
        <v>0</v>
      </c>
      <c r="I32" s="149"/>
      <c r="J32" s="149"/>
      <c r="M32" s="185">
        <v>0</v>
      </c>
      <c r="N32" s="149"/>
      <c r="O32" s="149"/>
      <c r="P32" s="149"/>
      <c r="R32" s="23"/>
    </row>
    <row r="33" spans="2:18" s="6" customFormat="1" ht="15" customHeight="1" hidden="1">
      <c r="B33" s="22"/>
      <c r="E33" s="27" t="s">
        <v>48</v>
      </c>
      <c r="F33" s="28">
        <v>0</v>
      </c>
      <c r="G33" s="92" t="s">
        <v>44</v>
      </c>
      <c r="H33" s="185">
        <f>ROUNDUP((((SUM($BI$105:$BI$112)+SUM($BI$130:$BI$220))+SUM($BI$222:$BI$226))),2)</f>
        <v>0</v>
      </c>
      <c r="I33" s="149"/>
      <c r="J33" s="149"/>
      <c r="M33" s="185">
        <v>0</v>
      </c>
      <c r="N33" s="149"/>
      <c r="O33" s="149"/>
      <c r="P33" s="149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49</v>
      </c>
      <c r="E35" s="33"/>
      <c r="F35" s="33"/>
      <c r="G35" s="93" t="s">
        <v>50</v>
      </c>
      <c r="H35" s="34" t="s">
        <v>51</v>
      </c>
      <c r="I35" s="33"/>
      <c r="J35" s="33"/>
      <c r="K35" s="33"/>
      <c r="L35" s="161">
        <f>ROUNDUP(SUM($M$27:$M$33),2)</f>
        <v>0</v>
      </c>
      <c r="M35" s="160"/>
      <c r="N35" s="160"/>
      <c r="O35" s="160"/>
      <c r="P35" s="162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47" t="s">
        <v>109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81" t="str">
        <f>$F$6</f>
        <v>Poliklinika - stavební úpravy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R78" s="23"/>
    </row>
    <row r="79" spans="2:18" s="6" customFormat="1" ht="37.5" customHeight="1">
      <c r="B79" s="22"/>
      <c r="C79" s="52" t="s">
        <v>107</v>
      </c>
      <c r="F79" s="163" t="str">
        <f>$F$7</f>
        <v>SO 05 - vstupní vestibul - podhledy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Kolín IV</v>
      </c>
      <c r="K81" s="17" t="s">
        <v>24</v>
      </c>
      <c r="M81" s="186" t="str">
        <f>IF($O$9="","",$O$9)</f>
        <v>11.06.2013</v>
      </c>
      <c r="N81" s="149"/>
      <c r="O81" s="149"/>
      <c r="P81" s="149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Kolín, Karlovo nám. 78, Kolín 1</v>
      </c>
      <c r="K83" s="17" t="s">
        <v>34</v>
      </c>
      <c r="M83" s="151" t="str">
        <f>$E$18</f>
        <v>Ing. Karel vrátný, Rubešova 60, Kolín 1</v>
      </c>
      <c r="N83" s="149"/>
      <c r="O83" s="149"/>
      <c r="P83" s="149"/>
      <c r="Q83" s="149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51" t="str">
        <f>$E$21</f>
        <v>Alena Vrátná</v>
      </c>
      <c r="N84" s="149"/>
      <c r="O84" s="149"/>
      <c r="P84" s="149"/>
      <c r="Q84" s="149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7" t="s">
        <v>110</v>
      </c>
      <c r="D86" s="179"/>
      <c r="E86" s="179"/>
      <c r="F86" s="179"/>
      <c r="G86" s="179"/>
      <c r="H86" s="31"/>
      <c r="I86" s="31"/>
      <c r="J86" s="31"/>
      <c r="K86" s="31"/>
      <c r="L86" s="31"/>
      <c r="M86" s="31"/>
      <c r="N86" s="187" t="s">
        <v>111</v>
      </c>
      <c r="O86" s="149"/>
      <c r="P86" s="149"/>
      <c r="Q86" s="149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4" t="s">
        <v>112</v>
      </c>
      <c r="N88" s="176">
        <f>ROUNDUP($N$130,2)</f>
        <v>0</v>
      </c>
      <c r="O88" s="149"/>
      <c r="P88" s="149"/>
      <c r="Q88" s="149"/>
      <c r="R88" s="23"/>
      <c r="AU88" s="6" t="s">
        <v>113</v>
      </c>
    </row>
    <row r="89" spans="2:18" s="69" customFormat="1" ht="25.5" customHeight="1">
      <c r="B89" s="94"/>
      <c r="D89" s="95" t="s">
        <v>114</v>
      </c>
      <c r="N89" s="188">
        <f>ROUNDUP($N$131,2)</f>
        <v>0</v>
      </c>
      <c r="O89" s="189"/>
      <c r="P89" s="189"/>
      <c r="Q89" s="189"/>
      <c r="R89" s="96"/>
    </row>
    <row r="90" spans="2:18" s="90" customFormat="1" ht="21" customHeight="1">
      <c r="B90" s="97"/>
      <c r="D90" s="78" t="s">
        <v>115</v>
      </c>
      <c r="N90" s="174">
        <f>ROUNDUP($N$132,2)</f>
        <v>0</v>
      </c>
      <c r="O90" s="189"/>
      <c r="P90" s="189"/>
      <c r="Q90" s="189"/>
      <c r="R90" s="98"/>
    </row>
    <row r="91" spans="2:18" s="90" customFormat="1" ht="21" customHeight="1">
      <c r="B91" s="97"/>
      <c r="D91" s="78" t="s">
        <v>116</v>
      </c>
      <c r="N91" s="174">
        <f>ROUNDUP($N$140,2)</f>
        <v>0</v>
      </c>
      <c r="O91" s="189"/>
      <c r="P91" s="189"/>
      <c r="Q91" s="189"/>
      <c r="R91" s="98"/>
    </row>
    <row r="92" spans="2:18" s="90" customFormat="1" ht="15.75" customHeight="1">
      <c r="B92" s="97"/>
      <c r="D92" s="78" t="s">
        <v>117</v>
      </c>
      <c r="N92" s="174">
        <f>ROUNDUP($N$145,2)</f>
        <v>0</v>
      </c>
      <c r="O92" s="189"/>
      <c r="P92" s="189"/>
      <c r="Q92" s="189"/>
      <c r="R92" s="98"/>
    </row>
    <row r="93" spans="2:18" s="69" customFormat="1" ht="25.5" customHeight="1">
      <c r="B93" s="94"/>
      <c r="D93" s="95" t="s">
        <v>118</v>
      </c>
      <c r="N93" s="188">
        <f>ROUNDUP($N$152,2)</f>
        <v>0</v>
      </c>
      <c r="O93" s="189"/>
      <c r="P93" s="189"/>
      <c r="Q93" s="189"/>
      <c r="R93" s="96"/>
    </row>
    <row r="94" spans="2:18" s="90" customFormat="1" ht="21" customHeight="1">
      <c r="B94" s="97"/>
      <c r="D94" s="78" t="s">
        <v>119</v>
      </c>
      <c r="N94" s="174">
        <f>ROUNDUP($N$153,2)</f>
        <v>0</v>
      </c>
      <c r="O94" s="189"/>
      <c r="P94" s="189"/>
      <c r="Q94" s="189"/>
      <c r="R94" s="98"/>
    </row>
    <row r="95" spans="2:18" s="90" customFormat="1" ht="21" customHeight="1">
      <c r="B95" s="97"/>
      <c r="D95" s="78" t="s">
        <v>120</v>
      </c>
      <c r="N95" s="174">
        <f>ROUNDUP($N$163,2)</f>
        <v>0</v>
      </c>
      <c r="O95" s="189"/>
      <c r="P95" s="189"/>
      <c r="Q95" s="189"/>
      <c r="R95" s="98"/>
    </row>
    <row r="96" spans="2:18" s="90" customFormat="1" ht="21" customHeight="1">
      <c r="B96" s="97"/>
      <c r="D96" s="78" t="s">
        <v>121</v>
      </c>
      <c r="N96" s="174">
        <f>ROUNDUP($N$167,2)</f>
        <v>0</v>
      </c>
      <c r="O96" s="189"/>
      <c r="P96" s="189"/>
      <c r="Q96" s="189"/>
      <c r="R96" s="98"/>
    </row>
    <row r="97" spans="2:18" s="90" customFormat="1" ht="21" customHeight="1">
      <c r="B97" s="97"/>
      <c r="D97" s="78" t="s">
        <v>122</v>
      </c>
      <c r="N97" s="174">
        <f>ROUNDUP($N$184,2)</f>
        <v>0</v>
      </c>
      <c r="O97" s="189"/>
      <c r="P97" s="189"/>
      <c r="Q97" s="189"/>
      <c r="R97" s="98"/>
    </row>
    <row r="98" spans="2:18" s="90" customFormat="1" ht="21" customHeight="1">
      <c r="B98" s="97"/>
      <c r="D98" s="78" t="s">
        <v>123</v>
      </c>
      <c r="N98" s="174">
        <f>ROUNDUP($N$187,2)</f>
        <v>0</v>
      </c>
      <c r="O98" s="189"/>
      <c r="P98" s="189"/>
      <c r="Q98" s="189"/>
      <c r="R98" s="98"/>
    </row>
    <row r="99" spans="2:18" s="90" customFormat="1" ht="21" customHeight="1">
      <c r="B99" s="97"/>
      <c r="D99" s="78" t="s">
        <v>124</v>
      </c>
      <c r="N99" s="174">
        <f>ROUNDUP($N$195,2)</f>
        <v>0</v>
      </c>
      <c r="O99" s="189"/>
      <c r="P99" s="189"/>
      <c r="Q99" s="189"/>
      <c r="R99" s="98"/>
    </row>
    <row r="100" spans="2:18" s="90" customFormat="1" ht="21" customHeight="1">
      <c r="B100" s="97"/>
      <c r="D100" s="78" t="s">
        <v>125</v>
      </c>
      <c r="N100" s="174">
        <f>ROUNDUP($N$202,2)</f>
        <v>0</v>
      </c>
      <c r="O100" s="189"/>
      <c r="P100" s="189"/>
      <c r="Q100" s="189"/>
      <c r="R100" s="98"/>
    </row>
    <row r="101" spans="2:18" s="90" customFormat="1" ht="21" customHeight="1">
      <c r="B101" s="97"/>
      <c r="D101" s="78" t="s">
        <v>126</v>
      </c>
      <c r="N101" s="174">
        <f>ROUNDUP($N$214,2)</f>
        <v>0</v>
      </c>
      <c r="O101" s="189"/>
      <c r="P101" s="189"/>
      <c r="Q101" s="189"/>
      <c r="R101" s="98"/>
    </row>
    <row r="102" spans="2:18" s="90" customFormat="1" ht="21" customHeight="1">
      <c r="B102" s="97"/>
      <c r="D102" s="78" t="s">
        <v>127</v>
      </c>
      <c r="N102" s="174">
        <f>ROUNDUP($N$219,2)</f>
        <v>0</v>
      </c>
      <c r="O102" s="189"/>
      <c r="P102" s="189"/>
      <c r="Q102" s="189"/>
      <c r="R102" s="98"/>
    </row>
    <row r="103" spans="2:18" s="69" customFormat="1" ht="22.5" customHeight="1">
      <c r="B103" s="94"/>
      <c r="D103" s="95" t="s">
        <v>128</v>
      </c>
      <c r="N103" s="190">
        <f>$N$221</f>
        <v>0</v>
      </c>
      <c r="O103" s="189"/>
      <c r="P103" s="189"/>
      <c r="Q103" s="189"/>
      <c r="R103" s="96"/>
    </row>
    <row r="104" spans="2:18" s="6" customFormat="1" ht="22.5" customHeight="1">
      <c r="B104" s="22"/>
      <c r="R104" s="23"/>
    </row>
    <row r="105" spans="2:21" s="6" customFormat="1" ht="30" customHeight="1">
      <c r="B105" s="22"/>
      <c r="C105" s="64" t="s">
        <v>129</v>
      </c>
      <c r="N105" s="176">
        <f>ROUNDUP($N$106+$N$107+$N$108+$N$109+$N$110+$N$111,2)</f>
        <v>0</v>
      </c>
      <c r="O105" s="149"/>
      <c r="P105" s="149"/>
      <c r="Q105" s="149"/>
      <c r="R105" s="23"/>
      <c r="T105" s="99"/>
      <c r="U105" s="100" t="s">
        <v>42</v>
      </c>
    </row>
    <row r="106" spans="2:62" s="6" customFormat="1" ht="18.75" customHeight="1">
      <c r="B106" s="22"/>
      <c r="D106" s="175" t="s">
        <v>130</v>
      </c>
      <c r="E106" s="149"/>
      <c r="F106" s="149"/>
      <c r="G106" s="149"/>
      <c r="H106" s="149"/>
      <c r="N106" s="173">
        <f>ROUNDUP($N$88*$T$106,2)</f>
        <v>0</v>
      </c>
      <c r="O106" s="149"/>
      <c r="P106" s="149"/>
      <c r="Q106" s="149"/>
      <c r="R106" s="23"/>
      <c r="T106" s="101"/>
      <c r="U106" s="102" t="s">
        <v>43</v>
      </c>
      <c r="AY106" s="6" t="s">
        <v>131</v>
      </c>
      <c r="BE106" s="82">
        <f>IF($U$106="základní",$N$106,0)</f>
        <v>0</v>
      </c>
      <c r="BF106" s="82">
        <f>IF($U$106="snížená",$N$106,0)</f>
        <v>0</v>
      </c>
      <c r="BG106" s="82">
        <f>IF($U$106="zákl. přenesená",$N$106,0)</f>
        <v>0</v>
      </c>
      <c r="BH106" s="82">
        <f>IF($U$106="sníž. přenesená",$N$106,0)</f>
        <v>0</v>
      </c>
      <c r="BI106" s="82">
        <f>IF($U$106="nulová",$N$106,0)</f>
        <v>0</v>
      </c>
      <c r="BJ106" s="6" t="s">
        <v>21</v>
      </c>
    </row>
    <row r="107" spans="2:62" s="6" customFormat="1" ht="18.75" customHeight="1">
      <c r="B107" s="22"/>
      <c r="D107" s="175" t="s">
        <v>132</v>
      </c>
      <c r="E107" s="149"/>
      <c r="F107" s="149"/>
      <c r="G107" s="149"/>
      <c r="H107" s="149"/>
      <c r="N107" s="173">
        <f>ROUNDUP($N$88*$T$107,2)</f>
        <v>0</v>
      </c>
      <c r="O107" s="149"/>
      <c r="P107" s="149"/>
      <c r="Q107" s="149"/>
      <c r="R107" s="23"/>
      <c r="T107" s="101"/>
      <c r="U107" s="102" t="s">
        <v>43</v>
      </c>
      <c r="AY107" s="6" t="s">
        <v>131</v>
      </c>
      <c r="BE107" s="82">
        <f>IF($U$107="základní",$N$107,0)</f>
        <v>0</v>
      </c>
      <c r="BF107" s="82">
        <f>IF($U$107="snížená",$N$107,0)</f>
        <v>0</v>
      </c>
      <c r="BG107" s="82">
        <f>IF($U$107="zákl. přenesená",$N$107,0)</f>
        <v>0</v>
      </c>
      <c r="BH107" s="82">
        <f>IF($U$107="sníž. přenesená",$N$107,0)</f>
        <v>0</v>
      </c>
      <c r="BI107" s="82">
        <f>IF($U$107="nulová",$N$107,0)</f>
        <v>0</v>
      </c>
      <c r="BJ107" s="6" t="s">
        <v>21</v>
      </c>
    </row>
    <row r="108" spans="2:62" s="6" customFormat="1" ht="18.75" customHeight="1">
      <c r="B108" s="22"/>
      <c r="D108" s="175" t="s">
        <v>133</v>
      </c>
      <c r="E108" s="149"/>
      <c r="F108" s="149"/>
      <c r="G108" s="149"/>
      <c r="H108" s="149"/>
      <c r="N108" s="173">
        <f>ROUNDUP($N$88*$T$108,2)</f>
        <v>0</v>
      </c>
      <c r="O108" s="149"/>
      <c r="P108" s="149"/>
      <c r="Q108" s="149"/>
      <c r="R108" s="23"/>
      <c r="T108" s="101"/>
      <c r="U108" s="102" t="s">
        <v>43</v>
      </c>
      <c r="AY108" s="6" t="s">
        <v>131</v>
      </c>
      <c r="BE108" s="82">
        <f>IF($U$108="základní",$N$108,0)</f>
        <v>0</v>
      </c>
      <c r="BF108" s="82">
        <f>IF($U$108="snížená",$N$108,0)</f>
        <v>0</v>
      </c>
      <c r="BG108" s="82">
        <f>IF($U$108="zákl. přenesená",$N$108,0)</f>
        <v>0</v>
      </c>
      <c r="BH108" s="82">
        <f>IF($U$108="sníž. přenesená",$N$108,0)</f>
        <v>0</v>
      </c>
      <c r="BI108" s="82">
        <f>IF($U$108="nulová",$N$108,0)</f>
        <v>0</v>
      </c>
      <c r="BJ108" s="6" t="s">
        <v>21</v>
      </c>
    </row>
    <row r="109" spans="2:62" s="6" customFormat="1" ht="18.75" customHeight="1">
      <c r="B109" s="22"/>
      <c r="D109" s="175" t="s">
        <v>134</v>
      </c>
      <c r="E109" s="149"/>
      <c r="F109" s="149"/>
      <c r="G109" s="149"/>
      <c r="H109" s="149"/>
      <c r="N109" s="173">
        <f>ROUNDUP($N$88*$T$109,2)</f>
        <v>0</v>
      </c>
      <c r="O109" s="149"/>
      <c r="P109" s="149"/>
      <c r="Q109" s="149"/>
      <c r="R109" s="23"/>
      <c r="T109" s="101"/>
      <c r="U109" s="102" t="s">
        <v>43</v>
      </c>
      <c r="AY109" s="6" t="s">
        <v>131</v>
      </c>
      <c r="BE109" s="82">
        <f>IF($U$109="základní",$N$109,0)</f>
        <v>0</v>
      </c>
      <c r="BF109" s="82">
        <f>IF($U$109="snížená",$N$109,0)</f>
        <v>0</v>
      </c>
      <c r="BG109" s="82">
        <f>IF($U$109="zákl. přenesená",$N$109,0)</f>
        <v>0</v>
      </c>
      <c r="BH109" s="82">
        <f>IF($U$109="sníž. přenesená",$N$109,0)</f>
        <v>0</v>
      </c>
      <c r="BI109" s="82">
        <f>IF($U$109="nulová",$N$109,0)</f>
        <v>0</v>
      </c>
      <c r="BJ109" s="6" t="s">
        <v>21</v>
      </c>
    </row>
    <row r="110" spans="2:62" s="6" customFormat="1" ht="18.75" customHeight="1">
      <c r="B110" s="22"/>
      <c r="D110" s="175" t="s">
        <v>135</v>
      </c>
      <c r="E110" s="149"/>
      <c r="F110" s="149"/>
      <c r="G110" s="149"/>
      <c r="H110" s="149"/>
      <c r="N110" s="173">
        <f>ROUNDUP($N$88*$T$110,2)</f>
        <v>0</v>
      </c>
      <c r="O110" s="149"/>
      <c r="P110" s="149"/>
      <c r="Q110" s="149"/>
      <c r="R110" s="23"/>
      <c r="T110" s="101"/>
      <c r="U110" s="102" t="s">
        <v>43</v>
      </c>
      <c r="AY110" s="6" t="s">
        <v>131</v>
      </c>
      <c r="BE110" s="82">
        <f>IF($U$110="základní",$N$110,0)</f>
        <v>0</v>
      </c>
      <c r="BF110" s="82">
        <f>IF($U$110="snížená",$N$110,0)</f>
        <v>0</v>
      </c>
      <c r="BG110" s="82">
        <f>IF($U$110="zákl. přenesená",$N$110,0)</f>
        <v>0</v>
      </c>
      <c r="BH110" s="82">
        <f>IF($U$110="sníž. přenesená",$N$110,0)</f>
        <v>0</v>
      </c>
      <c r="BI110" s="82">
        <f>IF($U$110="nulová",$N$110,0)</f>
        <v>0</v>
      </c>
      <c r="BJ110" s="6" t="s">
        <v>21</v>
      </c>
    </row>
    <row r="111" spans="2:62" s="6" customFormat="1" ht="18.75" customHeight="1">
      <c r="B111" s="22"/>
      <c r="D111" s="78" t="s">
        <v>136</v>
      </c>
      <c r="N111" s="173">
        <f>ROUNDUP($N$88*$T$111,2)</f>
        <v>0</v>
      </c>
      <c r="O111" s="149"/>
      <c r="P111" s="149"/>
      <c r="Q111" s="149"/>
      <c r="R111" s="23"/>
      <c r="T111" s="103"/>
      <c r="U111" s="104" t="s">
        <v>43</v>
      </c>
      <c r="AY111" s="6" t="s">
        <v>137</v>
      </c>
      <c r="BE111" s="82">
        <f>IF($U$111="základní",$N$111,0)</f>
        <v>0</v>
      </c>
      <c r="BF111" s="82">
        <f>IF($U$111="snížená",$N$111,0)</f>
        <v>0</v>
      </c>
      <c r="BG111" s="82">
        <f>IF($U$111="zákl. přenesená",$N$111,0)</f>
        <v>0</v>
      </c>
      <c r="BH111" s="82">
        <f>IF($U$111="sníž. přenesená",$N$111,0)</f>
        <v>0</v>
      </c>
      <c r="BI111" s="82">
        <f>IF($U$111="nulová",$N$111,0)</f>
        <v>0</v>
      </c>
      <c r="BJ111" s="6" t="s">
        <v>21</v>
      </c>
    </row>
    <row r="112" spans="2:18" s="6" customFormat="1" ht="14.25" customHeight="1">
      <c r="B112" s="22"/>
      <c r="R112" s="23"/>
    </row>
    <row r="113" spans="2:18" s="6" customFormat="1" ht="30" customHeight="1">
      <c r="B113" s="22"/>
      <c r="C113" s="89" t="s">
        <v>103</v>
      </c>
      <c r="D113" s="31"/>
      <c r="E113" s="31"/>
      <c r="F113" s="31"/>
      <c r="G113" s="31"/>
      <c r="H113" s="31"/>
      <c r="I113" s="31"/>
      <c r="J113" s="31"/>
      <c r="K113" s="31"/>
      <c r="L113" s="178">
        <f>ROUNDUP(SUM($N$88+$N$105),2)</f>
        <v>0</v>
      </c>
      <c r="M113" s="179"/>
      <c r="N113" s="179"/>
      <c r="O113" s="179"/>
      <c r="P113" s="179"/>
      <c r="Q113" s="179"/>
      <c r="R113" s="23"/>
    </row>
    <row r="114" spans="2:18" s="6" customFormat="1" ht="7.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8" spans="2:18" s="6" customFormat="1" ht="7.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6" customFormat="1" ht="37.5" customHeight="1">
      <c r="B119" s="22"/>
      <c r="C119" s="147" t="s">
        <v>138</v>
      </c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23"/>
    </row>
    <row r="120" spans="2:18" s="6" customFormat="1" ht="7.5" customHeight="1">
      <c r="B120" s="22"/>
      <c r="R120" s="23"/>
    </row>
    <row r="121" spans="2:18" s="6" customFormat="1" ht="30.75" customHeight="1">
      <c r="B121" s="22"/>
      <c r="C121" s="17" t="s">
        <v>16</v>
      </c>
      <c r="F121" s="181" t="str">
        <f>$F$6</f>
        <v>Poliklinika - stavební úpravy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R121" s="23"/>
    </row>
    <row r="122" spans="2:18" s="6" customFormat="1" ht="37.5" customHeight="1">
      <c r="B122" s="22"/>
      <c r="C122" s="52" t="s">
        <v>107</v>
      </c>
      <c r="F122" s="163" t="str">
        <f>$F$7</f>
        <v>SO 05 - vstupní vestibul - podhledy</v>
      </c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R122" s="23"/>
    </row>
    <row r="123" spans="2:18" s="6" customFormat="1" ht="7.5" customHeight="1">
      <c r="B123" s="22"/>
      <c r="R123" s="23"/>
    </row>
    <row r="124" spans="2:18" s="6" customFormat="1" ht="18.75" customHeight="1">
      <c r="B124" s="22"/>
      <c r="C124" s="17" t="s">
        <v>22</v>
      </c>
      <c r="F124" s="15" t="str">
        <f>$F$9</f>
        <v>Kolín IV</v>
      </c>
      <c r="K124" s="17" t="s">
        <v>24</v>
      </c>
      <c r="M124" s="186" t="str">
        <f>IF($O$9="","",$O$9)</f>
        <v>11.06.2013</v>
      </c>
      <c r="N124" s="149"/>
      <c r="O124" s="149"/>
      <c r="P124" s="149"/>
      <c r="R124" s="23"/>
    </row>
    <row r="125" spans="2:18" s="6" customFormat="1" ht="7.5" customHeight="1">
      <c r="B125" s="22"/>
      <c r="R125" s="23"/>
    </row>
    <row r="126" spans="2:18" s="6" customFormat="1" ht="15.75" customHeight="1">
      <c r="B126" s="22"/>
      <c r="C126" s="17" t="s">
        <v>28</v>
      </c>
      <c r="F126" s="15" t="str">
        <f>$E$12</f>
        <v>Město Kolín, Karlovo nám. 78, Kolín 1</v>
      </c>
      <c r="K126" s="17" t="s">
        <v>34</v>
      </c>
      <c r="M126" s="151" t="str">
        <f>$E$18</f>
        <v>Ing. Karel vrátný, Rubešova 60, Kolín 1</v>
      </c>
      <c r="N126" s="149"/>
      <c r="O126" s="149"/>
      <c r="P126" s="149"/>
      <c r="Q126" s="149"/>
      <c r="R126" s="23"/>
    </row>
    <row r="127" spans="2:18" s="6" customFormat="1" ht="15" customHeight="1">
      <c r="B127" s="22"/>
      <c r="C127" s="17" t="s">
        <v>32</v>
      </c>
      <c r="F127" s="15" t="str">
        <f>IF($E$15="","",$E$15)</f>
        <v>Vyplň údaj</v>
      </c>
      <c r="K127" s="17" t="s">
        <v>37</v>
      </c>
      <c r="M127" s="151" t="str">
        <f>$E$21</f>
        <v>Alena Vrátná</v>
      </c>
      <c r="N127" s="149"/>
      <c r="O127" s="149"/>
      <c r="P127" s="149"/>
      <c r="Q127" s="149"/>
      <c r="R127" s="23"/>
    </row>
    <row r="128" spans="2:18" s="6" customFormat="1" ht="11.25" customHeight="1">
      <c r="B128" s="22"/>
      <c r="R128" s="23"/>
    </row>
    <row r="129" spans="2:27" s="105" customFormat="1" ht="30" customHeight="1">
      <c r="B129" s="106"/>
      <c r="C129" s="107" t="s">
        <v>139</v>
      </c>
      <c r="D129" s="108" t="s">
        <v>140</v>
      </c>
      <c r="E129" s="108" t="s">
        <v>60</v>
      </c>
      <c r="F129" s="191" t="s">
        <v>141</v>
      </c>
      <c r="G129" s="192"/>
      <c r="H129" s="192"/>
      <c r="I129" s="192"/>
      <c r="J129" s="108" t="s">
        <v>142</v>
      </c>
      <c r="K129" s="108" t="s">
        <v>143</v>
      </c>
      <c r="L129" s="191" t="s">
        <v>144</v>
      </c>
      <c r="M129" s="192"/>
      <c r="N129" s="191" t="s">
        <v>145</v>
      </c>
      <c r="O129" s="192"/>
      <c r="P129" s="192"/>
      <c r="Q129" s="193"/>
      <c r="R129" s="109"/>
      <c r="T129" s="59" t="s">
        <v>146</v>
      </c>
      <c r="U129" s="60" t="s">
        <v>42</v>
      </c>
      <c r="V129" s="60" t="s">
        <v>147</v>
      </c>
      <c r="W129" s="60" t="s">
        <v>148</v>
      </c>
      <c r="X129" s="60" t="s">
        <v>149</v>
      </c>
      <c r="Y129" s="60" t="s">
        <v>150</v>
      </c>
      <c r="Z129" s="60" t="s">
        <v>151</v>
      </c>
      <c r="AA129" s="61" t="s">
        <v>152</v>
      </c>
    </row>
    <row r="130" spans="2:63" s="6" customFormat="1" ht="30" customHeight="1">
      <c r="B130" s="22"/>
      <c r="C130" s="64" t="s">
        <v>108</v>
      </c>
      <c r="N130" s="206">
        <f>$BK$130</f>
        <v>0</v>
      </c>
      <c r="O130" s="149"/>
      <c r="P130" s="149"/>
      <c r="Q130" s="149"/>
      <c r="R130" s="23"/>
      <c r="T130" s="63"/>
      <c r="U130" s="36"/>
      <c r="V130" s="36"/>
      <c r="W130" s="110">
        <f>$W$131+$W$152+$W$221</f>
        <v>211.69098400000001</v>
      </c>
      <c r="X130" s="36"/>
      <c r="Y130" s="110">
        <f>$Y$131+$Y$152+$Y$221</f>
        <v>0.8299763489999998</v>
      </c>
      <c r="Z130" s="36"/>
      <c r="AA130" s="111">
        <f>$AA$131+$AA$152+$AA$221</f>
        <v>0.857594</v>
      </c>
      <c r="AT130" s="6" t="s">
        <v>77</v>
      </c>
      <c r="AU130" s="6" t="s">
        <v>113</v>
      </c>
      <c r="BK130" s="112">
        <f>$BK$131+$BK$152+$BK$221</f>
        <v>0</v>
      </c>
    </row>
    <row r="131" spans="2:63" s="113" customFormat="1" ht="37.5" customHeight="1">
      <c r="B131" s="114"/>
      <c r="D131" s="115" t="s">
        <v>114</v>
      </c>
      <c r="N131" s="190">
        <f>$BK$131</f>
        <v>0</v>
      </c>
      <c r="O131" s="207"/>
      <c r="P131" s="207"/>
      <c r="Q131" s="207"/>
      <c r="R131" s="117"/>
      <c r="T131" s="118"/>
      <c r="W131" s="119">
        <f>$W$132+$W$140</f>
        <v>11.802531</v>
      </c>
      <c r="Y131" s="119">
        <f>$Y$132+$Y$140</f>
        <v>0.067993</v>
      </c>
      <c r="AA131" s="120">
        <f>$AA$132+$AA$140</f>
        <v>0.21168</v>
      </c>
      <c r="AR131" s="116" t="s">
        <v>21</v>
      </c>
      <c r="AT131" s="116" t="s">
        <v>77</v>
      </c>
      <c r="AU131" s="116" t="s">
        <v>78</v>
      </c>
      <c r="AY131" s="116" t="s">
        <v>153</v>
      </c>
      <c r="BK131" s="121">
        <f>$BK$132+$BK$140</f>
        <v>0</v>
      </c>
    </row>
    <row r="132" spans="2:63" s="113" customFormat="1" ht="21" customHeight="1">
      <c r="B132" s="114"/>
      <c r="D132" s="122" t="s">
        <v>115</v>
      </c>
      <c r="N132" s="208">
        <f>$BK$132</f>
        <v>0</v>
      </c>
      <c r="O132" s="207"/>
      <c r="P132" s="207"/>
      <c r="Q132" s="207"/>
      <c r="R132" s="117"/>
      <c r="T132" s="118"/>
      <c r="W132" s="119">
        <f>SUM($W$133:$W$139)</f>
        <v>7.8219</v>
      </c>
      <c r="Y132" s="119">
        <f>SUM($Y$133:$Y$139)</f>
        <v>0.067187</v>
      </c>
      <c r="AA132" s="120">
        <f>SUM($AA$133:$AA$139)</f>
        <v>0</v>
      </c>
      <c r="AR132" s="116" t="s">
        <v>21</v>
      </c>
      <c r="AT132" s="116" t="s">
        <v>77</v>
      </c>
      <c r="AU132" s="116" t="s">
        <v>21</v>
      </c>
      <c r="AY132" s="116" t="s">
        <v>153</v>
      </c>
      <c r="BK132" s="121">
        <f>SUM($BK$133:$BK$139)</f>
        <v>0</v>
      </c>
    </row>
    <row r="133" spans="2:64" s="6" customFormat="1" ht="27" customHeight="1">
      <c r="B133" s="22"/>
      <c r="C133" s="123" t="s">
        <v>21</v>
      </c>
      <c r="D133" s="123" t="s">
        <v>154</v>
      </c>
      <c r="E133" s="124" t="s">
        <v>155</v>
      </c>
      <c r="F133" s="194" t="s">
        <v>156</v>
      </c>
      <c r="G133" s="195"/>
      <c r="H133" s="195"/>
      <c r="I133" s="195"/>
      <c r="J133" s="125" t="s">
        <v>157</v>
      </c>
      <c r="K133" s="126">
        <v>4.4</v>
      </c>
      <c r="L133" s="196">
        <v>0</v>
      </c>
      <c r="M133" s="195"/>
      <c r="N133" s="197">
        <f>ROUND($L$133*$K$133,2)</f>
        <v>0</v>
      </c>
      <c r="O133" s="195"/>
      <c r="P133" s="195"/>
      <c r="Q133" s="195"/>
      <c r="R133" s="23"/>
      <c r="T133" s="127"/>
      <c r="U133" s="29" t="s">
        <v>43</v>
      </c>
      <c r="V133" s="128">
        <v>0.36</v>
      </c>
      <c r="W133" s="128">
        <f>$V$133*$K$133</f>
        <v>1.584</v>
      </c>
      <c r="X133" s="128">
        <v>0.00489</v>
      </c>
      <c r="Y133" s="128">
        <f>$X$133*$K$133</f>
        <v>0.021516000000000004</v>
      </c>
      <c r="Z133" s="128">
        <v>0</v>
      </c>
      <c r="AA133" s="129">
        <f>$Z$133*$K$133</f>
        <v>0</v>
      </c>
      <c r="AR133" s="6" t="s">
        <v>158</v>
      </c>
      <c r="AT133" s="6" t="s">
        <v>154</v>
      </c>
      <c r="AU133" s="6" t="s">
        <v>105</v>
      </c>
      <c r="AY133" s="6" t="s">
        <v>153</v>
      </c>
      <c r="BE133" s="82">
        <f>IF($U$133="základní",$N$133,0)</f>
        <v>0</v>
      </c>
      <c r="BF133" s="82">
        <f>IF($U$133="snížená",$N$133,0)</f>
        <v>0</v>
      </c>
      <c r="BG133" s="82">
        <f>IF($U$133="zákl. přenesená",$N$133,0)</f>
        <v>0</v>
      </c>
      <c r="BH133" s="82">
        <f>IF($U$133="sníž. přenesená",$N$133,0)</f>
        <v>0</v>
      </c>
      <c r="BI133" s="82">
        <f>IF($U$133="nulová",$N$133,0)</f>
        <v>0</v>
      </c>
      <c r="BJ133" s="6" t="s">
        <v>21</v>
      </c>
      <c r="BK133" s="82">
        <f>ROUND($L$133*$K$133,2)</f>
        <v>0</v>
      </c>
      <c r="BL133" s="6" t="s">
        <v>158</v>
      </c>
    </row>
    <row r="134" spans="2:51" s="6" customFormat="1" ht="15.75" customHeight="1">
      <c r="B134" s="130"/>
      <c r="E134" s="131"/>
      <c r="F134" s="198" t="s">
        <v>159</v>
      </c>
      <c r="G134" s="199"/>
      <c r="H134" s="199"/>
      <c r="I134" s="199"/>
      <c r="K134" s="132">
        <v>4.4</v>
      </c>
      <c r="R134" s="133"/>
      <c r="T134" s="134"/>
      <c r="AA134" s="135"/>
      <c r="AT134" s="131" t="s">
        <v>160</v>
      </c>
      <c r="AU134" s="131" t="s">
        <v>105</v>
      </c>
      <c r="AV134" s="131" t="s">
        <v>105</v>
      </c>
      <c r="AW134" s="131" t="s">
        <v>113</v>
      </c>
      <c r="AX134" s="131" t="s">
        <v>21</v>
      </c>
      <c r="AY134" s="131" t="s">
        <v>153</v>
      </c>
    </row>
    <row r="135" spans="2:64" s="6" customFormat="1" ht="27" customHeight="1">
      <c r="B135" s="22"/>
      <c r="C135" s="123" t="s">
        <v>105</v>
      </c>
      <c r="D135" s="123" t="s">
        <v>154</v>
      </c>
      <c r="E135" s="124" t="s">
        <v>161</v>
      </c>
      <c r="F135" s="194" t="s">
        <v>162</v>
      </c>
      <c r="G135" s="195"/>
      <c r="H135" s="195"/>
      <c r="I135" s="195"/>
      <c r="J135" s="125" t="s">
        <v>157</v>
      </c>
      <c r="K135" s="126">
        <v>4.4</v>
      </c>
      <c r="L135" s="196">
        <v>0</v>
      </c>
      <c r="M135" s="195"/>
      <c r="N135" s="197">
        <f>ROUND($L$135*$K$135,2)</f>
        <v>0</v>
      </c>
      <c r="O135" s="195"/>
      <c r="P135" s="195"/>
      <c r="Q135" s="195"/>
      <c r="R135" s="23"/>
      <c r="T135" s="127"/>
      <c r="U135" s="29" t="s">
        <v>43</v>
      </c>
      <c r="V135" s="128">
        <v>0.292</v>
      </c>
      <c r="W135" s="128">
        <f>$V$135*$K$135</f>
        <v>1.2848</v>
      </c>
      <c r="X135" s="128">
        <v>0.00178</v>
      </c>
      <c r="Y135" s="128">
        <f>$X$135*$K$135</f>
        <v>0.007832</v>
      </c>
      <c r="Z135" s="128">
        <v>0</v>
      </c>
      <c r="AA135" s="129">
        <f>$Z$135*$K$135</f>
        <v>0</v>
      </c>
      <c r="AR135" s="6" t="s">
        <v>158</v>
      </c>
      <c r="AT135" s="6" t="s">
        <v>154</v>
      </c>
      <c r="AU135" s="6" t="s">
        <v>105</v>
      </c>
      <c r="AY135" s="6" t="s">
        <v>153</v>
      </c>
      <c r="BE135" s="82">
        <f>IF($U$135="základní",$N$135,0)</f>
        <v>0</v>
      </c>
      <c r="BF135" s="82">
        <f>IF($U$135="snížená",$N$135,0)</f>
        <v>0</v>
      </c>
      <c r="BG135" s="82">
        <f>IF($U$135="zákl. přenesená",$N$135,0)</f>
        <v>0</v>
      </c>
      <c r="BH135" s="82">
        <f>IF($U$135="sníž. přenesená",$N$135,0)</f>
        <v>0</v>
      </c>
      <c r="BI135" s="82">
        <f>IF($U$135="nulová",$N$135,0)</f>
        <v>0</v>
      </c>
      <c r="BJ135" s="6" t="s">
        <v>21</v>
      </c>
      <c r="BK135" s="82">
        <f>ROUND($L$135*$K$135,2)</f>
        <v>0</v>
      </c>
      <c r="BL135" s="6" t="s">
        <v>158</v>
      </c>
    </row>
    <row r="136" spans="2:64" s="6" customFormat="1" ht="27" customHeight="1">
      <c r="B136" s="22"/>
      <c r="C136" s="123" t="s">
        <v>163</v>
      </c>
      <c r="D136" s="123" t="s">
        <v>154</v>
      </c>
      <c r="E136" s="124" t="s">
        <v>164</v>
      </c>
      <c r="F136" s="194" t="s">
        <v>165</v>
      </c>
      <c r="G136" s="195"/>
      <c r="H136" s="195"/>
      <c r="I136" s="195"/>
      <c r="J136" s="125" t="s">
        <v>157</v>
      </c>
      <c r="K136" s="126">
        <v>4.4</v>
      </c>
      <c r="L136" s="196">
        <v>0</v>
      </c>
      <c r="M136" s="195"/>
      <c r="N136" s="197">
        <f>ROUND($L$136*$K$136,2)</f>
        <v>0</v>
      </c>
      <c r="O136" s="195"/>
      <c r="P136" s="195"/>
      <c r="Q136" s="195"/>
      <c r="R136" s="23"/>
      <c r="T136" s="127"/>
      <c r="U136" s="29" t="s">
        <v>43</v>
      </c>
      <c r="V136" s="128">
        <v>0.33</v>
      </c>
      <c r="W136" s="128">
        <f>$V$136*$K$136</f>
        <v>1.4520000000000002</v>
      </c>
      <c r="X136" s="128">
        <v>0.00489</v>
      </c>
      <c r="Y136" s="128">
        <f>$X$136*$K$136</f>
        <v>0.021516000000000004</v>
      </c>
      <c r="Z136" s="128">
        <v>0</v>
      </c>
      <c r="AA136" s="129">
        <f>$Z$136*$K$136</f>
        <v>0</v>
      </c>
      <c r="AR136" s="6" t="s">
        <v>158</v>
      </c>
      <c r="AT136" s="6" t="s">
        <v>154</v>
      </c>
      <c r="AU136" s="6" t="s">
        <v>105</v>
      </c>
      <c r="AY136" s="6" t="s">
        <v>153</v>
      </c>
      <c r="BE136" s="82">
        <f>IF($U$136="základní",$N$136,0)</f>
        <v>0</v>
      </c>
      <c r="BF136" s="82">
        <f>IF($U$136="snížená",$N$136,0)</f>
        <v>0</v>
      </c>
      <c r="BG136" s="82">
        <f>IF($U$136="zákl. přenesená",$N$136,0)</f>
        <v>0</v>
      </c>
      <c r="BH136" s="82">
        <f>IF($U$136="sníž. přenesená",$N$136,0)</f>
        <v>0</v>
      </c>
      <c r="BI136" s="82">
        <f>IF($U$136="nulová",$N$136,0)</f>
        <v>0</v>
      </c>
      <c r="BJ136" s="6" t="s">
        <v>21</v>
      </c>
      <c r="BK136" s="82">
        <f>ROUND($L$136*$K$136,2)</f>
        <v>0</v>
      </c>
      <c r="BL136" s="6" t="s">
        <v>158</v>
      </c>
    </row>
    <row r="137" spans="2:64" s="6" customFormat="1" ht="27" customHeight="1">
      <c r="B137" s="22"/>
      <c r="C137" s="123" t="s">
        <v>158</v>
      </c>
      <c r="D137" s="123" t="s">
        <v>154</v>
      </c>
      <c r="E137" s="124" t="s">
        <v>166</v>
      </c>
      <c r="F137" s="194" t="s">
        <v>167</v>
      </c>
      <c r="G137" s="195"/>
      <c r="H137" s="195"/>
      <c r="I137" s="195"/>
      <c r="J137" s="125" t="s">
        <v>157</v>
      </c>
      <c r="K137" s="126">
        <v>4.4</v>
      </c>
      <c r="L137" s="196">
        <v>0</v>
      </c>
      <c r="M137" s="195"/>
      <c r="N137" s="197">
        <f>ROUND($L$137*$K$137,2)</f>
        <v>0</v>
      </c>
      <c r="O137" s="195"/>
      <c r="P137" s="195"/>
      <c r="Q137" s="195"/>
      <c r="R137" s="23"/>
      <c r="T137" s="127"/>
      <c r="U137" s="29" t="s">
        <v>43</v>
      </c>
      <c r="V137" s="128">
        <v>0.245</v>
      </c>
      <c r="W137" s="128">
        <f>$V$137*$K$137</f>
        <v>1.078</v>
      </c>
      <c r="X137" s="128">
        <v>0.00268</v>
      </c>
      <c r="Y137" s="128">
        <f>$X$137*$K$137</f>
        <v>0.011792000000000002</v>
      </c>
      <c r="Z137" s="128">
        <v>0</v>
      </c>
      <c r="AA137" s="129">
        <f>$Z$137*$K$137</f>
        <v>0</v>
      </c>
      <c r="AR137" s="6" t="s">
        <v>158</v>
      </c>
      <c r="AT137" s="6" t="s">
        <v>154</v>
      </c>
      <c r="AU137" s="6" t="s">
        <v>105</v>
      </c>
      <c r="AY137" s="6" t="s">
        <v>153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přenesená",$N$137,0)</f>
        <v>0</v>
      </c>
      <c r="BH137" s="82">
        <f>IF($U$137="sníž. přenesená",$N$137,0)</f>
        <v>0</v>
      </c>
      <c r="BI137" s="82">
        <f>IF($U$137="nulová",$N$137,0)</f>
        <v>0</v>
      </c>
      <c r="BJ137" s="6" t="s">
        <v>21</v>
      </c>
      <c r="BK137" s="82">
        <f>ROUND($L$137*$K$137,2)</f>
        <v>0</v>
      </c>
      <c r="BL137" s="6" t="s">
        <v>158</v>
      </c>
    </row>
    <row r="138" spans="2:64" s="6" customFormat="1" ht="27" customHeight="1">
      <c r="B138" s="22"/>
      <c r="C138" s="123" t="s">
        <v>168</v>
      </c>
      <c r="D138" s="123" t="s">
        <v>154</v>
      </c>
      <c r="E138" s="124" t="s">
        <v>169</v>
      </c>
      <c r="F138" s="194" t="s">
        <v>170</v>
      </c>
      <c r="G138" s="195"/>
      <c r="H138" s="195"/>
      <c r="I138" s="195"/>
      <c r="J138" s="125" t="s">
        <v>171</v>
      </c>
      <c r="K138" s="126">
        <v>19.7</v>
      </c>
      <c r="L138" s="196">
        <v>0</v>
      </c>
      <c r="M138" s="195"/>
      <c r="N138" s="197">
        <f>ROUND($L$138*$K$138,2)</f>
        <v>0</v>
      </c>
      <c r="O138" s="195"/>
      <c r="P138" s="195"/>
      <c r="Q138" s="195"/>
      <c r="R138" s="23"/>
      <c r="T138" s="127"/>
      <c r="U138" s="29" t="s">
        <v>43</v>
      </c>
      <c r="V138" s="128">
        <v>0.123</v>
      </c>
      <c r="W138" s="128">
        <f>$V$138*$K$138</f>
        <v>2.4231</v>
      </c>
      <c r="X138" s="128">
        <v>0.00023</v>
      </c>
      <c r="Y138" s="128">
        <f>$X$138*$K$138</f>
        <v>0.004531</v>
      </c>
      <c r="Z138" s="128">
        <v>0</v>
      </c>
      <c r="AA138" s="129">
        <f>$Z$138*$K$138</f>
        <v>0</v>
      </c>
      <c r="AR138" s="6" t="s">
        <v>158</v>
      </c>
      <c r="AT138" s="6" t="s">
        <v>154</v>
      </c>
      <c r="AU138" s="6" t="s">
        <v>105</v>
      </c>
      <c r="AY138" s="6" t="s">
        <v>153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přenesená",$N$138,0)</f>
        <v>0</v>
      </c>
      <c r="BH138" s="82">
        <f>IF($U$138="sníž. přenesená",$N$138,0)</f>
        <v>0</v>
      </c>
      <c r="BI138" s="82">
        <f>IF($U$138="nulová",$N$138,0)</f>
        <v>0</v>
      </c>
      <c r="BJ138" s="6" t="s">
        <v>21</v>
      </c>
      <c r="BK138" s="82">
        <f>ROUND($L$138*$K$138,2)</f>
        <v>0</v>
      </c>
      <c r="BL138" s="6" t="s">
        <v>158</v>
      </c>
    </row>
    <row r="139" spans="2:51" s="6" customFormat="1" ht="15.75" customHeight="1">
      <c r="B139" s="130"/>
      <c r="E139" s="131"/>
      <c r="F139" s="198" t="s">
        <v>172</v>
      </c>
      <c r="G139" s="199"/>
      <c r="H139" s="199"/>
      <c r="I139" s="199"/>
      <c r="K139" s="132">
        <v>19.7</v>
      </c>
      <c r="R139" s="133"/>
      <c r="T139" s="134"/>
      <c r="AA139" s="135"/>
      <c r="AT139" s="131" t="s">
        <v>160</v>
      </c>
      <c r="AU139" s="131" t="s">
        <v>105</v>
      </c>
      <c r="AV139" s="131" t="s">
        <v>105</v>
      </c>
      <c r="AW139" s="131" t="s">
        <v>113</v>
      </c>
      <c r="AX139" s="131" t="s">
        <v>21</v>
      </c>
      <c r="AY139" s="131" t="s">
        <v>153</v>
      </c>
    </row>
    <row r="140" spans="2:63" s="113" customFormat="1" ht="30.75" customHeight="1">
      <c r="B140" s="114"/>
      <c r="D140" s="122" t="s">
        <v>116</v>
      </c>
      <c r="N140" s="208">
        <f>$BK$140</f>
        <v>0</v>
      </c>
      <c r="O140" s="207"/>
      <c r="P140" s="207"/>
      <c r="Q140" s="207"/>
      <c r="R140" s="117"/>
      <c r="T140" s="118"/>
      <c r="W140" s="119">
        <f>$W$141+SUM($W$142:$W$145)</f>
        <v>3.980631</v>
      </c>
      <c r="Y140" s="119">
        <f>$Y$141+SUM($Y$142:$Y$145)</f>
        <v>0.000806</v>
      </c>
      <c r="AA140" s="120">
        <f>$AA$141+SUM($AA$142:$AA$145)</f>
        <v>0.21168</v>
      </c>
      <c r="AR140" s="116" t="s">
        <v>21</v>
      </c>
      <c r="AT140" s="116" t="s">
        <v>77</v>
      </c>
      <c r="AU140" s="116" t="s">
        <v>21</v>
      </c>
      <c r="AY140" s="116" t="s">
        <v>153</v>
      </c>
      <c r="BK140" s="121">
        <f>$BK$141+SUM($BK$142:$BK$145)</f>
        <v>0</v>
      </c>
    </row>
    <row r="141" spans="2:64" s="6" customFormat="1" ht="39" customHeight="1">
      <c r="B141" s="22"/>
      <c r="C141" s="123" t="s">
        <v>173</v>
      </c>
      <c r="D141" s="123" t="s">
        <v>154</v>
      </c>
      <c r="E141" s="124" t="s">
        <v>174</v>
      </c>
      <c r="F141" s="194" t="s">
        <v>175</v>
      </c>
      <c r="G141" s="195"/>
      <c r="H141" s="195"/>
      <c r="I141" s="195"/>
      <c r="J141" s="125" t="s">
        <v>157</v>
      </c>
      <c r="K141" s="126">
        <v>6.2</v>
      </c>
      <c r="L141" s="196">
        <v>0</v>
      </c>
      <c r="M141" s="195"/>
      <c r="N141" s="197">
        <f>ROUND($L$141*$K$141,2)</f>
        <v>0</v>
      </c>
      <c r="O141" s="195"/>
      <c r="P141" s="195"/>
      <c r="Q141" s="195"/>
      <c r="R141" s="23"/>
      <c r="T141" s="127"/>
      <c r="U141" s="29" t="s">
        <v>43</v>
      </c>
      <c r="V141" s="128">
        <v>0.105</v>
      </c>
      <c r="W141" s="128">
        <f>$V$141*$K$141</f>
        <v>0.651</v>
      </c>
      <c r="X141" s="128">
        <v>0.00013</v>
      </c>
      <c r="Y141" s="128">
        <f>$X$141*$K$141</f>
        <v>0.000806</v>
      </c>
      <c r="Z141" s="128">
        <v>0</v>
      </c>
      <c r="AA141" s="129">
        <f>$Z$141*$K$141</f>
        <v>0</v>
      </c>
      <c r="AR141" s="6" t="s">
        <v>158</v>
      </c>
      <c r="AT141" s="6" t="s">
        <v>154</v>
      </c>
      <c r="AU141" s="6" t="s">
        <v>105</v>
      </c>
      <c r="AY141" s="6" t="s">
        <v>153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přenesená",$N$141,0)</f>
        <v>0</v>
      </c>
      <c r="BH141" s="82">
        <f>IF($U$141="sníž. přenesená",$N$141,0)</f>
        <v>0</v>
      </c>
      <c r="BI141" s="82">
        <f>IF($U$141="nulová",$N$141,0)</f>
        <v>0</v>
      </c>
      <c r="BJ141" s="6" t="s">
        <v>21</v>
      </c>
      <c r="BK141" s="82">
        <f>ROUND($L$141*$K$141,2)</f>
        <v>0</v>
      </c>
      <c r="BL141" s="6" t="s">
        <v>158</v>
      </c>
    </row>
    <row r="142" spans="2:64" s="6" customFormat="1" ht="15.75" customHeight="1">
      <c r="B142" s="22"/>
      <c r="C142" s="123" t="s">
        <v>176</v>
      </c>
      <c r="D142" s="123" t="s">
        <v>154</v>
      </c>
      <c r="E142" s="124" t="s">
        <v>177</v>
      </c>
      <c r="F142" s="194" t="s">
        <v>178</v>
      </c>
      <c r="G142" s="195"/>
      <c r="H142" s="195"/>
      <c r="I142" s="195"/>
      <c r="J142" s="125" t="s">
        <v>157</v>
      </c>
      <c r="K142" s="126">
        <v>61.409</v>
      </c>
      <c r="L142" s="196">
        <v>0</v>
      </c>
      <c r="M142" s="195"/>
      <c r="N142" s="197">
        <f>ROUND($L$142*$K$142,2)</f>
        <v>0</v>
      </c>
      <c r="O142" s="195"/>
      <c r="P142" s="195"/>
      <c r="Q142" s="195"/>
      <c r="R142" s="23"/>
      <c r="T142" s="127"/>
      <c r="U142" s="29" t="s">
        <v>43</v>
      </c>
      <c r="V142" s="128">
        <v>0.009</v>
      </c>
      <c r="W142" s="128">
        <f>$V$142*$K$142</f>
        <v>0.552681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158</v>
      </c>
      <c r="AT142" s="6" t="s">
        <v>154</v>
      </c>
      <c r="AU142" s="6" t="s">
        <v>105</v>
      </c>
      <c r="AY142" s="6" t="s">
        <v>153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přenesená",$N$142,0)</f>
        <v>0</v>
      </c>
      <c r="BH142" s="82">
        <f>IF($U$142="sníž. přenesená",$N$142,0)</f>
        <v>0</v>
      </c>
      <c r="BI142" s="82">
        <f>IF($U$142="nulová",$N$142,0)</f>
        <v>0</v>
      </c>
      <c r="BJ142" s="6" t="s">
        <v>21</v>
      </c>
      <c r="BK142" s="82">
        <f>ROUND($L$142*$K$142,2)</f>
        <v>0</v>
      </c>
      <c r="BL142" s="6" t="s">
        <v>158</v>
      </c>
    </row>
    <row r="143" spans="2:64" s="6" customFormat="1" ht="27" customHeight="1">
      <c r="B143" s="22"/>
      <c r="C143" s="123" t="s">
        <v>179</v>
      </c>
      <c r="D143" s="123" t="s">
        <v>154</v>
      </c>
      <c r="E143" s="124" t="s">
        <v>180</v>
      </c>
      <c r="F143" s="194" t="s">
        <v>181</v>
      </c>
      <c r="G143" s="195"/>
      <c r="H143" s="195"/>
      <c r="I143" s="195"/>
      <c r="J143" s="125" t="s">
        <v>157</v>
      </c>
      <c r="K143" s="126">
        <v>3.36</v>
      </c>
      <c r="L143" s="196">
        <v>0</v>
      </c>
      <c r="M143" s="195"/>
      <c r="N143" s="197">
        <f>ROUND($L$143*$K$143,2)</f>
        <v>0</v>
      </c>
      <c r="O143" s="195"/>
      <c r="P143" s="195"/>
      <c r="Q143" s="195"/>
      <c r="R143" s="23"/>
      <c r="T143" s="127"/>
      <c r="U143" s="29" t="s">
        <v>43</v>
      </c>
      <c r="V143" s="128">
        <v>0.718</v>
      </c>
      <c r="W143" s="128">
        <f>$V$143*$K$143</f>
        <v>2.41248</v>
      </c>
      <c r="X143" s="128">
        <v>0</v>
      </c>
      <c r="Y143" s="128">
        <f>$X$143*$K$143</f>
        <v>0</v>
      </c>
      <c r="Z143" s="128">
        <v>0.063</v>
      </c>
      <c r="AA143" s="129">
        <f>$Z$143*$K$143</f>
        <v>0.21168</v>
      </c>
      <c r="AR143" s="6" t="s">
        <v>158</v>
      </c>
      <c r="AT143" s="6" t="s">
        <v>154</v>
      </c>
      <c r="AU143" s="6" t="s">
        <v>105</v>
      </c>
      <c r="AY143" s="6" t="s">
        <v>153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přenesená",$N$143,0)</f>
        <v>0</v>
      </c>
      <c r="BH143" s="82">
        <f>IF($U$143="sníž. přenesená",$N$143,0)</f>
        <v>0</v>
      </c>
      <c r="BI143" s="82">
        <f>IF($U$143="nulová",$N$143,0)</f>
        <v>0</v>
      </c>
      <c r="BJ143" s="6" t="s">
        <v>21</v>
      </c>
      <c r="BK143" s="82">
        <f>ROUND($L$143*$K$143,2)</f>
        <v>0</v>
      </c>
      <c r="BL143" s="6" t="s">
        <v>158</v>
      </c>
    </row>
    <row r="144" spans="2:51" s="6" customFormat="1" ht="15.75" customHeight="1">
      <c r="B144" s="130"/>
      <c r="E144" s="131"/>
      <c r="F144" s="198" t="s">
        <v>182</v>
      </c>
      <c r="G144" s="199"/>
      <c r="H144" s="199"/>
      <c r="I144" s="199"/>
      <c r="K144" s="132">
        <v>3.36</v>
      </c>
      <c r="R144" s="133"/>
      <c r="T144" s="134"/>
      <c r="AA144" s="135"/>
      <c r="AT144" s="131" t="s">
        <v>160</v>
      </c>
      <c r="AU144" s="131" t="s">
        <v>105</v>
      </c>
      <c r="AV144" s="131" t="s">
        <v>105</v>
      </c>
      <c r="AW144" s="131" t="s">
        <v>113</v>
      </c>
      <c r="AX144" s="131" t="s">
        <v>21</v>
      </c>
      <c r="AY144" s="131" t="s">
        <v>153</v>
      </c>
    </row>
    <row r="145" spans="2:63" s="113" customFormat="1" ht="23.25" customHeight="1">
      <c r="B145" s="114"/>
      <c r="D145" s="122" t="s">
        <v>117</v>
      </c>
      <c r="N145" s="208">
        <f>$BK$145</f>
        <v>0</v>
      </c>
      <c r="O145" s="207"/>
      <c r="P145" s="207"/>
      <c r="Q145" s="207"/>
      <c r="R145" s="117"/>
      <c r="T145" s="118"/>
      <c r="W145" s="119">
        <f>SUM($W$146:$W$151)</f>
        <v>0.36447</v>
      </c>
      <c r="Y145" s="119">
        <f>SUM($Y$146:$Y$151)</f>
        <v>0</v>
      </c>
      <c r="AA145" s="120">
        <f>SUM($AA$146:$AA$151)</f>
        <v>0</v>
      </c>
      <c r="AR145" s="116" t="s">
        <v>21</v>
      </c>
      <c r="AT145" s="116" t="s">
        <v>77</v>
      </c>
      <c r="AU145" s="116" t="s">
        <v>105</v>
      </c>
      <c r="AY145" s="116" t="s">
        <v>153</v>
      </c>
      <c r="BK145" s="121">
        <f>SUM($BK$146:$BK$151)</f>
        <v>0</v>
      </c>
    </row>
    <row r="146" spans="2:64" s="6" customFormat="1" ht="15.75" customHeight="1">
      <c r="B146" s="22"/>
      <c r="C146" s="123" t="s">
        <v>183</v>
      </c>
      <c r="D146" s="123" t="s">
        <v>154</v>
      </c>
      <c r="E146" s="124" t="s">
        <v>184</v>
      </c>
      <c r="F146" s="194" t="s">
        <v>185</v>
      </c>
      <c r="G146" s="195"/>
      <c r="H146" s="195"/>
      <c r="I146" s="195"/>
      <c r="J146" s="125" t="s">
        <v>186</v>
      </c>
      <c r="K146" s="126">
        <v>0.858</v>
      </c>
      <c r="L146" s="196">
        <v>0</v>
      </c>
      <c r="M146" s="195"/>
      <c r="N146" s="197">
        <f>ROUND($L$146*$K$146,2)</f>
        <v>0</v>
      </c>
      <c r="O146" s="195"/>
      <c r="P146" s="195"/>
      <c r="Q146" s="195"/>
      <c r="R146" s="23"/>
      <c r="T146" s="127"/>
      <c r="U146" s="29" t="s">
        <v>43</v>
      </c>
      <c r="V146" s="128">
        <v>0.136</v>
      </c>
      <c r="W146" s="128">
        <f>$V$146*$K$146</f>
        <v>0.116688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158</v>
      </c>
      <c r="AT146" s="6" t="s">
        <v>154</v>
      </c>
      <c r="AU146" s="6" t="s">
        <v>163</v>
      </c>
      <c r="AY146" s="6" t="s">
        <v>153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přenesená",$N$146,0)</f>
        <v>0</v>
      </c>
      <c r="BH146" s="82">
        <f>IF($U$146="sníž. přenesená",$N$146,0)</f>
        <v>0</v>
      </c>
      <c r="BI146" s="82">
        <f>IF($U$146="nulová",$N$146,0)</f>
        <v>0</v>
      </c>
      <c r="BJ146" s="6" t="s">
        <v>21</v>
      </c>
      <c r="BK146" s="82">
        <f>ROUND($L$146*$K$146,2)</f>
        <v>0</v>
      </c>
      <c r="BL146" s="6" t="s">
        <v>158</v>
      </c>
    </row>
    <row r="147" spans="2:64" s="6" customFormat="1" ht="27" customHeight="1">
      <c r="B147" s="22"/>
      <c r="C147" s="123" t="s">
        <v>26</v>
      </c>
      <c r="D147" s="123" t="s">
        <v>154</v>
      </c>
      <c r="E147" s="124" t="s">
        <v>187</v>
      </c>
      <c r="F147" s="194" t="s">
        <v>188</v>
      </c>
      <c r="G147" s="195"/>
      <c r="H147" s="195"/>
      <c r="I147" s="195"/>
      <c r="J147" s="125" t="s">
        <v>186</v>
      </c>
      <c r="K147" s="126">
        <v>0.858</v>
      </c>
      <c r="L147" s="196">
        <v>0</v>
      </c>
      <c r="M147" s="195"/>
      <c r="N147" s="197">
        <f>ROUND($L$147*$K$147,2)</f>
        <v>0</v>
      </c>
      <c r="O147" s="195"/>
      <c r="P147" s="195"/>
      <c r="Q147" s="195"/>
      <c r="R147" s="23"/>
      <c r="T147" s="127"/>
      <c r="U147" s="29" t="s">
        <v>43</v>
      </c>
      <c r="V147" s="128">
        <v>0.125</v>
      </c>
      <c r="W147" s="128">
        <f>$V$147*$K$147</f>
        <v>0.10725</v>
      </c>
      <c r="X147" s="128">
        <v>0</v>
      </c>
      <c r="Y147" s="128">
        <f>$X$147*$K$147</f>
        <v>0</v>
      </c>
      <c r="Z147" s="128">
        <v>0</v>
      </c>
      <c r="AA147" s="129">
        <f>$Z$147*$K$147</f>
        <v>0</v>
      </c>
      <c r="AR147" s="6" t="s">
        <v>158</v>
      </c>
      <c r="AT147" s="6" t="s">
        <v>154</v>
      </c>
      <c r="AU147" s="6" t="s">
        <v>163</v>
      </c>
      <c r="AY147" s="6" t="s">
        <v>153</v>
      </c>
      <c r="BE147" s="82">
        <f>IF($U$147="základní",$N$147,0)</f>
        <v>0</v>
      </c>
      <c r="BF147" s="82">
        <f>IF($U$147="snížená",$N$147,0)</f>
        <v>0</v>
      </c>
      <c r="BG147" s="82">
        <f>IF($U$147="zákl. přenesená",$N$147,0)</f>
        <v>0</v>
      </c>
      <c r="BH147" s="82">
        <f>IF($U$147="sníž. přenesená",$N$147,0)</f>
        <v>0</v>
      </c>
      <c r="BI147" s="82">
        <f>IF($U$147="nulová",$N$147,0)</f>
        <v>0</v>
      </c>
      <c r="BJ147" s="6" t="s">
        <v>21</v>
      </c>
      <c r="BK147" s="82">
        <f>ROUND($L$147*$K$147,2)</f>
        <v>0</v>
      </c>
      <c r="BL147" s="6" t="s">
        <v>158</v>
      </c>
    </row>
    <row r="148" spans="2:64" s="6" customFormat="1" ht="27" customHeight="1">
      <c r="B148" s="22"/>
      <c r="C148" s="123" t="s">
        <v>189</v>
      </c>
      <c r="D148" s="123" t="s">
        <v>154</v>
      </c>
      <c r="E148" s="124" t="s">
        <v>190</v>
      </c>
      <c r="F148" s="194" t="s">
        <v>191</v>
      </c>
      <c r="G148" s="195"/>
      <c r="H148" s="195"/>
      <c r="I148" s="195"/>
      <c r="J148" s="125" t="s">
        <v>186</v>
      </c>
      <c r="K148" s="126">
        <v>14.004</v>
      </c>
      <c r="L148" s="196">
        <v>0</v>
      </c>
      <c r="M148" s="195"/>
      <c r="N148" s="197">
        <f>ROUND($L$148*$K$148,2)</f>
        <v>0</v>
      </c>
      <c r="O148" s="195"/>
      <c r="P148" s="195"/>
      <c r="Q148" s="195"/>
      <c r="R148" s="23"/>
      <c r="T148" s="127"/>
      <c r="U148" s="29" t="s">
        <v>43</v>
      </c>
      <c r="V148" s="128">
        <v>0.006</v>
      </c>
      <c r="W148" s="128">
        <f>$V$148*$K$148</f>
        <v>0.084024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158</v>
      </c>
      <c r="AT148" s="6" t="s">
        <v>154</v>
      </c>
      <c r="AU148" s="6" t="s">
        <v>163</v>
      </c>
      <c r="AY148" s="6" t="s">
        <v>153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přenesená",$N$148,0)</f>
        <v>0</v>
      </c>
      <c r="BH148" s="82">
        <f>IF($U$148="sníž. přenesená",$N$148,0)</f>
        <v>0</v>
      </c>
      <c r="BI148" s="82">
        <f>IF($U$148="nulová",$N$148,0)</f>
        <v>0</v>
      </c>
      <c r="BJ148" s="6" t="s">
        <v>21</v>
      </c>
      <c r="BK148" s="82">
        <f>ROUND($L$148*$K$148,2)</f>
        <v>0</v>
      </c>
      <c r="BL148" s="6" t="s">
        <v>158</v>
      </c>
    </row>
    <row r="149" spans="2:51" s="6" customFormat="1" ht="15.75" customHeight="1">
      <c r="B149" s="130"/>
      <c r="E149" s="131"/>
      <c r="F149" s="198" t="s">
        <v>192</v>
      </c>
      <c r="G149" s="199"/>
      <c r="H149" s="199"/>
      <c r="I149" s="199"/>
      <c r="K149" s="132">
        <v>14.004</v>
      </c>
      <c r="R149" s="133"/>
      <c r="T149" s="134"/>
      <c r="AA149" s="135"/>
      <c r="AT149" s="131" t="s">
        <v>160</v>
      </c>
      <c r="AU149" s="131" t="s">
        <v>163</v>
      </c>
      <c r="AV149" s="131" t="s">
        <v>105</v>
      </c>
      <c r="AW149" s="131" t="s">
        <v>113</v>
      </c>
      <c r="AX149" s="131" t="s">
        <v>21</v>
      </c>
      <c r="AY149" s="131" t="s">
        <v>153</v>
      </c>
    </row>
    <row r="150" spans="2:64" s="6" customFormat="1" ht="27" customHeight="1">
      <c r="B150" s="22"/>
      <c r="C150" s="123" t="s">
        <v>193</v>
      </c>
      <c r="D150" s="123" t="s">
        <v>154</v>
      </c>
      <c r="E150" s="124" t="s">
        <v>194</v>
      </c>
      <c r="F150" s="194" t="s">
        <v>195</v>
      </c>
      <c r="G150" s="195"/>
      <c r="H150" s="195"/>
      <c r="I150" s="195"/>
      <c r="J150" s="125" t="s">
        <v>186</v>
      </c>
      <c r="K150" s="126">
        <v>0.858</v>
      </c>
      <c r="L150" s="196">
        <v>0</v>
      </c>
      <c r="M150" s="195"/>
      <c r="N150" s="197">
        <f>ROUND($L$150*$K$150,2)</f>
        <v>0</v>
      </c>
      <c r="O150" s="195"/>
      <c r="P150" s="195"/>
      <c r="Q150" s="195"/>
      <c r="R150" s="23"/>
      <c r="T150" s="127"/>
      <c r="U150" s="29" t="s">
        <v>43</v>
      </c>
      <c r="V150" s="128">
        <v>0</v>
      </c>
      <c r="W150" s="128">
        <f>$V$150*$K$150</f>
        <v>0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158</v>
      </c>
      <c r="AT150" s="6" t="s">
        <v>154</v>
      </c>
      <c r="AU150" s="6" t="s">
        <v>163</v>
      </c>
      <c r="AY150" s="6" t="s">
        <v>153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přenesená",$N$150,0)</f>
        <v>0</v>
      </c>
      <c r="BH150" s="82">
        <f>IF($U$150="sníž. přenesená",$N$150,0)</f>
        <v>0</v>
      </c>
      <c r="BI150" s="82">
        <f>IF($U$150="nulová",$N$150,0)</f>
        <v>0</v>
      </c>
      <c r="BJ150" s="6" t="s">
        <v>21</v>
      </c>
      <c r="BK150" s="82">
        <f>ROUND($L$150*$K$150,2)</f>
        <v>0</v>
      </c>
      <c r="BL150" s="6" t="s">
        <v>158</v>
      </c>
    </row>
    <row r="151" spans="2:64" s="6" customFormat="1" ht="15.75" customHeight="1">
      <c r="B151" s="22"/>
      <c r="C151" s="123" t="s">
        <v>196</v>
      </c>
      <c r="D151" s="123" t="s">
        <v>154</v>
      </c>
      <c r="E151" s="124" t="s">
        <v>197</v>
      </c>
      <c r="F151" s="194" t="s">
        <v>198</v>
      </c>
      <c r="G151" s="195"/>
      <c r="H151" s="195"/>
      <c r="I151" s="195"/>
      <c r="J151" s="125" t="s">
        <v>186</v>
      </c>
      <c r="K151" s="126">
        <v>0.068</v>
      </c>
      <c r="L151" s="196">
        <v>0</v>
      </c>
      <c r="M151" s="195"/>
      <c r="N151" s="197">
        <f>ROUND($L$151*$K$151,2)</f>
        <v>0</v>
      </c>
      <c r="O151" s="195"/>
      <c r="P151" s="195"/>
      <c r="Q151" s="195"/>
      <c r="R151" s="23"/>
      <c r="T151" s="127"/>
      <c r="U151" s="29" t="s">
        <v>43</v>
      </c>
      <c r="V151" s="128">
        <v>0.831</v>
      </c>
      <c r="W151" s="128">
        <f>$V$151*$K$151</f>
        <v>0.056508</v>
      </c>
      <c r="X151" s="128">
        <v>0</v>
      </c>
      <c r="Y151" s="128">
        <f>$X$151*$K$151</f>
        <v>0</v>
      </c>
      <c r="Z151" s="128">
        <v>0</v>
      </c>
      <c r="AA151" s="129">
        <f>$Z$151*$K$151</f>
        <v>0</v>
      </c>
      <c r="AR151" s="6" t="s">
        <v>158</v>
      </c>
      <c r="AT151" s="6" t="s">
        <v>154</v>
      </c>
      <c r="AU151" s="6" t="s">
        <v>163</v>
      </c>
      <c r="AY151" s="6" t="s">
        <v>153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přenesená",$N$151,0)</f>
        <v>0</v>
      </c>
      <c r="BH151" s="82">
        <f>IF($U$151="sníž. přenesená",$N$151,0)</f>
        <v>0</v>
      </c>
      <c r="BI151" s="82">
        <f>IF($U$151="nulová",$N$151,0)</f>
        <v>0</v>
      </c>
      <c r="BJ151" s="6" t="s">
        <v>21</v>
      </c>
      <c r="BK151" s="82">
        <f>ROUND($L$151*$K$151,2)</f>
        <v>0</v>
      </c>
      <c r="BL151" s="6" t="s">
        <v>158</v>
      </c>
    </row>
    <row r="152" spans="2:63" s="113" customFormat="1" ht="37.5" customHeight="1">
      <c r="B152" s="114"/>
      <c r="D152" s="115" t="s">
        <v>118</v>
      </c>
      <c r="N152" s="190">
        <f>$BK$152</f>
        <v>0</v>
      </c>
      <c r="O152" s="207"/>
      <c r="P152" s="207"/>
      <c r="Q152" s="207"/>
      <c r="R152" s="117"/>
      <c r="T152" s="118"/>
      <c r="W152" s="119">
        <f>$W$153+$W$163+$W$167+$W$184+$W$187+$W$195+$W$202+$W$214+$W$219</f>
        <v>199.88845300000003</v>
      </c>
      <c r="Y152" s="119">
        <f>$Y$153+$Y$163+$Y$167+$Y$184+$Y$187+$Y$195+$Y$202+$Y$214+$Y$219</f>
        <v>0.7619833489999999</v>
      </c>
      <c r="AA152" s="120">
        <f>$AA$153+$AA$163+$AA$167+$AA$184+$AA$187+$AA$195+$AA$202+$AA$214+$AA$219</f>
        <v>0.645914</v>
      </c>
      <c r="AR152" s="116" t="s">
        <v>105</v>
      </c>
      <c r="AT152" s="116" t="s">
        <v>77</v>
      </c>
      <c r="AU152" s="116" t="s">
        <v>78</v>
      </c>
      <c r="AY152" s="116" t="s">
        <v>153</v>
      </c>
      <c r="BK152" s="121">
        <f>$BK$153+$BK$163+$BK$167+$BK$184+$BK$187+$BK$195+$BK$202+$BK$214+$BK$219</f>
        <v>0</v>
      </c>
    </row>
    <row r="153" spans="2:63" s="113" customFormat="1" ht="21" customHeight="1">
      <c r="B153" s="114"/>
      <c r="D153" s="122" t="s">
        <v>119</v>
      </c>
      <c r="N153" s="208">
        <f>$BK$153</f>
        <v>0</v>
      </c>
      <c r="O153" s="207"/>
      <c r="P153" s="207"/>
      <c r="Q153" s="207"/>
      <c r="R153" s="117"/>
      <c r="T153" s="118"/>
      <c r="W153" s="119">
        <f>SUM($W$154:$W$162)</f>
        <v>1.043209</v>
      </c>
      <c r="Y153" s="119">
        <f>SUM($Y$154:$Y$162)</f>
        <v>0.13878644999999998</v>
      </c>
      <c r="AA153" s="120">
        <f>SUM($AA$154:$AA$162)</f>
        <v>0</v>
      </c>
      <c r="AR153" s="116" t="s">
        <v>105</v>
      </c>
      <c r="AT153" s="116" t="s">
        <v>77</v>
      </c>
      <c r="AU153" s="116" t="s">
        <v>21</v>
      </c>
      <c r="AY153" s="116" t="s">
        <v>153</v>
      </c>
      <c r="BK153" s="121">
        <f>SUM($BK$154:$BK$162)</f>
        <v>0</v>
      </c>
    </row>
    <row r="154" spans="2:64" s="6" customFormat="1" ht="39" customHeight="1">
      <c r="B154" s="22"/>
      <c r="C154" s="123" t="s">
        <v>199</v>
      </c>
      <c r="D154" s="123" t="s">
        <v>154</v>
      </c>
      <c r="E154" s="124" t="s">
        <v>200</v>
      </c>
      <c r="F154" s="194" t="s">
        <v>201</v>
      </c>
      <c r="G154" s="195"/>
      <c r="H154" s="195"/>
      <c r="I154" s="195"/>
      <c r="J154" s="125" t="s">
        <v>157</v>
      </c>
      <c r="K154" s="126">
        <v>3.3</v>
      </c>
      <c r="L154" s="196">
        <v>0</v>
      </c>
      <c r="M154" s="195"/>
      <c r="N154" s="197">
        <f>ROUND($L$154*$K$154,2)</f>
        <v>0</v>
      </c>
      <c r="O154" s="195"/>
      <c r="P154" s="195"/>
      <c r="Q154" s="195"/>
      <c r="R154" s="23"/>
      <c r="T154" s="127"/>
      <c r="U154" s="29" t="s">
        <v>43</v>
      </c>
      <c r="V154" s="128">
        <v>0.189</v>
      </c>
      <c r="W154" s="128">
        <f>$V$154*$K$154</f>
        <v>0.6236999999999999</v>
      </c>
      <c r="X154" s="128">
        <v>0</v>
      </c>
      <c r="Y154" s="128">
        <f>$X$154*$K$154</f>
        <v>0</v>
      </c>
      <c r="Z154" s="128">
        <v>0</v>
      </c>
      <c r="AA154" s="129">
        <f>$Z$154*$K$154</f>
        <v>0</v>
      </c>
      <c r="AR154" s="6" t="s">
        <v>202</v>
      </c>
      <c r="AT154" s="6" t="s">
        <v>154</v>
      </c>
      <c r="AU154" s="6" t="s">
        <v>105</v>
      </c>
      <c r="AY154" s="6" t="s">
        <v>153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přenesená",$N$154,0)</f>
        <v>0</v>
      </c>
      <c r="BH154" s="82">
        <f>IF($U$154="sníž. přenesená",$N$154,0)</f>
        <v>0</v>
      </c>
      <c r="BI154" s="82">
        <f>IF($U$154="nulová",$N$154,0)</f>
        <v>0</v>
      </c>
      <c r="BJ154" s="6" t="s">
        <v>21</v>
      </c>
      <c r="BK154" s="82">
        <f>ROUND($L$154*$K$154,2)</f>
        <v>0</v>
      </c>
      <c r="BL154" s="6" t="s">
        <v>202</v>
      </c>
    </row>
    <row r="155" spans="2:51" s="6" customFormat="1" ht="15.75" customHeight="1">
      <c r="B155" s="130"/>
      <c r="E155" s="131"/>
      <c r="F155" s="198" t="s">
        <v>203</v>
      </c>
      <c r="G155" s="199"/>
      <c r="H155" s="199"/>
      <c r="I155" s="199"/>
      <c r="K155" s="132">
        <v>3.3</v>
      </c>
      <c r="R155" s="133"/>
      <c r="T155" s="134"/>
      <c r="AA155" s="135"/>
      <c r="AT155" s="131" t="s">
        <v>160</v>
      </c>
      <c r="AU155" s="131" t="s">
        <v>105</v>
      </c>
      <c r="AV155" s="131" t="s">
        <v>105</v>
      </c>
      <c r="AW155" s="131" t="s">
        <v>113</v>
      </c>
      <c r="AX155" s="131" t="s">
        <v>21</v>
      </c>
      <c r="AY155" s="131" t="s">
        <v>153</v>
      </c>
    </row>
    <row r="156" spans="2:64" s="6" customFormat="1" ht="27" customHeight="1">
      <c r="B156" s="22"/>
      <c r="C156" s="136" t="s">
        <v>8</v>
      </c>
      <c r="D156" s="136" t="s">
        <v>204</v>
      </c>
      <c r="E156" s="137" t="s">
        <v>205</v>
      </c>
      <c r="F156" s="200" t="s">
        <v>206</v>
      </c>
      <c r="G156" s="201"/>
      <c r="H156" s="201"/>
      <c r="I156" s="201"/>
      <c r="J156" s="138" t="s">
        <v>157</v>
      </c>
      <c r="K156" s="139">
        <v>6.732</v>
      </c>
      <c r="L156" s="202">
        <v>0</v>
      </c>
      <c r="M156" s="201"/>
      <c r="N156" s="203">
        <f>ROUND($L$156*$K$156,2)</f>
        <v>0</v>
      </c>
      <c r="O156" s="195"/>
      <c r="P156" s="195"/>
      <c r="Q156" s="195"/>
      <c r="R156" s="23"/>
      <c r="T156" s="127"/>
      <c r="U156" s="29" t="s">
        <v>43</v>
      </c>
      <c r="V156" s="128">
        <v>0</v>
      </c>
      <c r="W156" s="128">
        <f>$V$156*$K$156</f>
        <v>0</v>
      </c>
      <c r="X156" s="128">
        <v>0.0015</v>
      </c>
      <c r="Y156" s="128">
        <f>$X$156*$K$156</f>
        <v>0.010098000000000001</v>
      </c>
      <c r="Z156" s="128">
        <v>0</v>
      </c>
      <c r="AA156" s="129">
        <f>$Z$156*$K$156</f>
        <v>0</v>
      </c>
      <c r="AR156" s="6" t="s">
        <v>207</v>
      </c>
      <c r="AT156" s="6" t="s">
        <v>204</v>
      </c>
      <c r="AU156" s="6" t="s">
        <v>105</v>
      </c>
      <c r="AY156" s="6" t="s">
        <v>153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přenesená",$N$156,0)</f>
        <v>0</v>
      </c>
      <c r="BH156" s="82">
        <f>IF($U$156="sníž. přenesená",$N$156,0)</f>
        <v>0</v>
      </c>
      <c r="BI156" s="82">
        <f>IF($U$156="nulová",$N$156,0)</f>
        <v>0</v>
      </c>
      <c r="BJ156" s="6" t="s">
        <v>21</v>
      </c>
      <c r="BK156" s="82">
        <f>ROUND($L$156*$K$156,2)</f>
        <v>0</v>
      </c>
      <c r="BL156" s="6" t="s">
        <v>202</v>
      </c>
    </row>
    <row r="157" spans="2:64" s="6" customFormat="1" ht="15.75" customHeight="1">
      <c r="B157" s="22"/>
      <c r="C157" s="136" t="s">
        <v>202</v>
      </c>
      <c r="D157" s="136" t="s">
        <v>204</v>
      </c>
      <c r="E157" s="137" t="s">
        <v>208</v>
      </c>
      <c r="F157" s="200" t="s">
        <v>209</v>
      </c>
      <c r="G157" s="201"/>
      <c r="H157" s="201"/>
      <c r="I157" s="201"/>
      <c r="J157" s="138" t="s">
        <v>157</v>
      </c>
      <c r="K157" s="139">
        <v>6.732</v>
      </c>
      <c r="L157" s="202">
        <v>0</v>
      </c>
      <c r="M157" s="201"/>
      <c r="N157" s="203">
        <f>ROUND($L$157*$K$157,2)</f>
        <v>0</v>
      </c>
      <c r="O157" s="195"/>
      <c r="P157" s="195"/>
      <c r="Q157" s="195"/>
      <c r="R157" s="23"/>
      <c r="T157" s="127"/>
      <c r="U157" s="29" t="s">
        <v>43</v>
      </c>
      <c r="V157" s="128">
        <v>0</v>
      </c>
      <c r="W157" s="128">
        <f>$V$157*$K$157</f>
        <v>0</v>
      </c>
      <c r="X157" s="128">
        <v>0.019</v>
      </c>
      <c r="Y157" s="128">
        <f>$X$157*$K$157</f>
        <v>0.127908</v>
      </c>
      <c r="Z157" s="128">
        <v>0</v>
      </c>
      <c r="AA157" s="129">
        <f>$Z$157*$K$157</f>
        <v>0</v>
      </c>
      <c r="AR157" s="6" t="s">
        <v>207</v>
      </c>
      <c r="AT157" s="6" t="s">
        <v>204</v>
      </c>
      <c r="AU157" s="6" t="s">
        <v>105</v>
      </c>
      <c r="AY157" s="6" t="s">
        <v>153</v>
      </c>
      <c r="BE157" s="82">
        <f>IF($U$157="základní",$N$157,0)</f>
        <v>0</v>
      </c>
      <c r="BF157" s="82">
        <f>IF($U$157="snížená",$N$157,0)</f>
        <v>0</v>
      </c>
      <c r="BG157" s="82">
        <f>IF($U$157="zákl. přenesená",$N$157,0)</f>
        <v>0</v>
      </c>
      <c r="BH157" s="82">
        <f>IF($U$157="sníž. přenesená",$N$157,0)</f>
        <v>0</v>
      </c>
      <c r="BI157" s="82">
        <f>IF($U$157="nulová",$N$157,0)</f>
        <v>0</v>
      </c>
      <c r="BJ157" s="6" t="s">
        <v>21</v>
      </c>
      <c r="BK157" s="82">
        <f>ROUND($L$157*$K$157,2)</f>
        <v>0</v>
      </c>
      <c r="BL157" s="6" t="s">
        <v>202</v>
      </c>
    </row>
    <row r="158" spans="2:64" s="6" customFormat="1" ht="15.75" customHeight="1">
      <c r="B158" s="22"/>
      <c r="C158" s="123" t="s">
        <v>210</v>
      </c>
      <c r="D158" s="123" t="s">
        <v>154</v>
      </c>
      <c r="E158" s="124" t="s">
        <v>211</v>
      </c>
      <c r="F158" s="194" t="s">
        <v>212</v>
      </c>
      <c r="G158" s="195"/>
      <c r="H158" s="195"/>
      <c r="I158" s="195"/>
      <c r="J158" s="125" t="s">
        <v>157</v>
      </c>
      <c r="K158" s="126">
        <v>6.6</v>
      </c>
      <c r="L158" s="196">
        <v>0</v>
      </c>
      <c r="M158" s="195"/>
      <c r="N158" s="197">
        <f>ROUND($L$158*$K$158,2)</f>
        <v>0</v>
      </c>
      <c r="O158" s="195"/>
      <c r="P158" s="195"/>
      <c r="Q158" s="195"/>
      <c r="R158" s="23"/>
      <c r="T158" s="127"/>
      <c r="U158" s="29" t="s">
        <v>43</v>
      </c>
      <c r="V158" s="128">
        <v>0.025</v>
      </c>
      <c r="W158" s="128">
        <f>$V$158*$K$158</f>
        <v>0.165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202</v>
      </c>
      <c r="AT158" s="6" t="s">
        <v>154</v>
      </c>
      <c r="AU158" s="6" t="s">
        <v>105</v>
      </c>
      <c r="AY158" s="6" t="s">
        <v>153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přenesená",$N$158,0)</f>
        <v>0</v>
      </c>
      <c r="BH158" s="82">
        <f>IF($U$158="sníž. přenesená",$N$158,0)</f>
        <v>0</v>
      </c>
      <c r="BI158" s="82">
        <f>IF($U$158="nulová",$N$158,0)</f>
        <v>0</v>
      </c>
      <c r="BJ158" s="6" t="s">
        <v>21</v>
      </c>
      <c r="BK158" s="82">
        <f>ROUND($L$158*$K$158,2)</f>
        <v>0</v>
      </c>
      <c r="BL158" s="6" t="s">
        <v>202</v>
      </c>
    </row>
    <row r="159" spans="2:51" s="6" customFormat="1" ht="15.75" customHeight="1">
      <c r="B159" s="130"/>
      <c r="E159" s="131"/>
      <c r="F159" s="198" t="s">
        <v>213</v>
      </c>
      <c r="G159" s="199"/>
      <c r="H159" s="199"/>
      <c r="I159" s="199"/>
      <c r="K159" s="132">
        <v>6.6</v>
      </c>
      <c r="R159" s="133"/>
      <c r="T159" s="134"/>
      <c r="AA159" s="135"/>
      <c r="AT159" s="131" t="s">
        <v>160</v>
      </c>
      <c r="AU159" s="131" t="s">
        <v>105</v>
      </c>
      <c r="AV159" s="131" t="s">
        <v>105</v>
      </c>
      <c r="AW159" s="131" t="s">
        <v>113</v>
      </c>
      <c r="AX159" s="131" t="s">
        <v>21</v>
      </c>
      <c r="AY159" s="131" t="s">
        <v>153</v>
      </c>
    </row>
    <row r="160" spans="2:64" s="6" customFormat="1" ht="15.75" customHeight="1">
      <c r="B160" s="22"/>
      <c r="C160" s="136" t="s">
        <v>214</v>
      </c>
      <c r="D160" s="136" t="s">
        <v>204</v>
      </c>
      <c r="E160" s="137" t="s">
        <v>215</v>
      </c>
      <c r="F160" s="200" t="s">
        <v>216</v>
      </c>
      <c r="G160" s="201"/>
      <c r="H160" s="201"/>
      <c r="I160" s="201"/>
      <c r="J160" s="138" t="s">
        <v>157</v>
      </c>
      <c r="K160" s="139">
        <v>3.63</v>
      </c>
      <c r="L160" s="202">
        <v>0</v>
      </c>
      <c r="M160" s="201"/>
      <c r="N160" s="203">
        <f>ROUND($L$160*$K$160,2)</f>
        <v>0</v>
      </c>
      <c r="O160" s="195"/>
      <c r="P160" s="195"/>
      <c r="Q160" s="195"/>
      <c r="R160" s="23"/>
      <c r="T160" s="127"/>
      <c r="U160" s="29" t="s">
        <v>43</v>
      </c>
      <c r="V160" s="128">
        <v>0</v>
      </c>
      <c r="W160" s="128">
        <f>$V$160*$K$160</f>
        <v>0</v>
      </c>
      <c r="X160" s="128">
        <v>0.000105</v>
      </c>
      <c r="Y160" s="128">
        <f>$X$160*$K$160</f>
        <v>0.00038115</v>
      </c>
      <c r="Z160" s="128">
        <v>0</v>
      </c>
      <c r="AA160" s="129">
        <f>$Z$160*$K$160</f>
        <v>0</v>
      </c>
      <c r="AR160" s="6" t="s">
        <v>207</v>
      </c>
      <c r="AT160" s="6" t="s">
        <v>204</v>
      </c>
      <c r="AU160" s="6" t="s">
        <v>105</v>
      </c>
      <c r="AY160" s="6" t="s">
        <v>153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přenesená",$N$160,0)</f>
        <v>0</v>
      </c>
      <c r="BH160" s="82">
        <f>IF($U$160="sníž. přenesená",$N$160,0)</f>
        <v>0</v>
      </c>
      <c r="BI160" s="82">
        <f>IF($U$160="nulová",$N$160,0)</f>
        <v>0</v>
      </c>
      <c r="BJ160" s="6" t="s">
        <v>21</v>
      </c>
      <c r="BK160" s="82">
        <f>ROUND($L$160*$K$160,2)</f>
        <v>0</v>
      </c>
      <c r="BL160" s="6" t="s">
        <v>202</v>
      </c>
    </row>
    <row r="161" spans="2:64" s="6" customFormat="1" ht="15.75" customHeight="1">
      <c r="B161" s="22"/>
      <c r="C161" s="136" t="s">
        <v>217</v>
      </c>
      <c r="D161" s="136" t="s">
        <v>204</v>
      </c>
      <c r="E161" s="137" t="s">
        <v>218</v>
      </c>
      <c r="F161" s="200" t="s">
        <v>219</v>
      </c>
      <c r="G161" s="201"/>
      <c r="H161" s="201"/>
      <c r="I161" s="201"/>
      <c r="J161" s="138" t="s">
        <v>157</v>
      </c>
      <c r="K161" s="139">
        <v>3.63</v>
      </c>
      <c r="L161" s="202">
        <v>0</v>
      </c>
      <c r="M161" s="201"/>
      <c r="N161" s="203">
        <f>ROUND($L$161*$K$161,2)</f>
        <v>0</v>
      </c>
      <c r="O161" s="195"/>
      <c r="P161" s="195"/>
      <c r="Q161" s="195"/>
      <c r="R161" s="23"/>
      <c r="T161" s="127"/>
      <c r="U161" s="29" t="s">
        <v>43</v>
      </c>
      <c r="V161" s="128">
        <v>0</v>
      </c>
      <c r="W161" s="128">
        <f>$V$161*$K$161</f>
        <v>0</v>
      </c>
      <c r="X161" s="128">
        <v>0.00011</v>
      </c>
      <c r="Y161" s="128">
        <f>$X$161*$K$161</f>
        <v>0.0003993</v>
      </c>
      <c r="Z161" s="128">
        <v>0</v>
      </c>
      <c r="AA161" s="129">
        <f>$Z$161*$K$161</f>
        <v>0</v>
      </c>
      <c r="AR161" s="6" t="s">
        <v>207</v>
      </c>
      <c r="AT161" s="6" t="s">
        <v>204</v>
      </c>
      <c r="AU161" s="6" t="s">
        <v>105</v>
      </c>
      <c r="AY161" s="6" t="s">
        <v>153</v>
      </c>
      <c r="BE161" s="82">
        <f>IF($U$161="základní",$N$161,0)</f>
        <v>0</v>
      </c>
      <c r="BF161" s="82">
        <f>IF($U$161="snížená",$N$161,0)</f>
        <v>0</v>
      </c>
      <c r="BG161" s="82">
        <f>IF($U$161="zákl. přenesená",$N$161,0)</f>
        <v>0</v>
      </c>
      <c r="BH161" s="82">
        <f>IF($U$161="sníž. přenesená",$N$161,0)</f>
        <v>0</v>
      </c>
      <c r="BI161" s="82">
        <f>IF($U$161="nulová",$N$161,0)</f>
        <v>0</v>
      </c>
      <c r="BJ161" s="6" t="s">
        <v>21</v>
      </c>
      <c r="BK161" s="82">
        <f>ROUND($L$161*$K$161,2)</f>
        <v>0</v>
      </c>
      <c r="BL161" s="6" t="s">
        <v>202</v>
      </c>
    </row>
    <row r="162" spans="2:64" s="6" customFormat="1" ht="27" customHeight="1">
      <c r="B162" s="22"/>
      <c r="C162" s="123" t="s">
        <v>220</v>
      </c>
      <c r="D162" s="123" t="s">
        <v>154</v>
      </c>
      <c r="E162" s="124" t="s">
        <v>221</v>
      </c>
      <c r="F162" s="194" t="s">
        <v>222</v>
      </c>
      <c r="G162" s="195"/>
      <c r="H162" s="195"/>
      <c r="I162" s="195"/>
      <c r="J162" s="125" t="s">
        <v>186</v>
      </c>
      <c r="K162" s="126">
        <v>0.139</v>
      </c>
      <c r="L162" s="196">
        <v>0</v>
      </c>
      <c r="M162" s="195"/>
      <c r="N162" s="197">
        <f>ROUND($L$162*$K$162,2)</f>
        <v>0</v>
      </c>
      <c r="O162" s="195"/>
      <c r="P162" s="195"/>
      <c r="Q162" s="195"/>
      <c r="R162" s="23"/>
      <c r="T162" s="127"/>
      <c r="U162" s="29" t="s">
        <v>43</v>
      </c>
      <c r="V162" s="128">
        <v>1.831</v>
      </c>
      <c r="W162" s="128">
        <f>$V$162*$K$162</f>
        <v>0.25450900000000004</v>
      </c>
      <c r="X162" s="128">
        <v>0</v>
      </c>
      <c r="Y162" s="128">
        <f>$X$162*$K$162</f>
        <v>0</v>
      </c>
      <c r="Z162" s="128">
        <v>0</v>
      </c>
      <c r="AA162" s="129">
        <f>$Z$162*$K$162</f>
        <v>0</v>
      </c>
      <c r="AR162" s="6" t="s">
        <v>202</v>
      </c>
      <c r="AT162" s="6" t="s">
        <v>154</v>
      </c>
      <c r="AU162" s="6" t="s">
        <v>105</v>
      </c>
      <c r="AY162" s="6" t="s">
        <v>153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přenesená",$N$162,0)</f>
        <v>0</v>
      </c>
      <c r="BH162" s="82">
        <f>IF($U$162="sníž. přenesená",$N$162,0)</f>
        <v>0</v>
      </c>
      <c r="BI162" s="82">
        <f>IF($U$162="nulová",$N$162,0)</f>
        <v>0</v>
      </c>
      <c r="BJ162" s="6" t="s">
        <v>21</v>
      </c>
      <c r="BK162" s="82">
        <f>ROUND($L$162*$K$162,2)</f>
        <v>0</v>
      </c>
      <c r="BL162" s="6" t="s">
        <v>202</v>
      </c>
    </row>
    <row r="163" spans="2:63" s="113" customFormat="1" ht="30.75" customHeight="1">
      <c r="B163" s="114"/>
      <c r="D163" s="122" t="s">
        <v>120</v>
      </c>
      <c r="N163" s="208">
        <f>$BK$163</f>
        <v>0</v>
      </c>
      <c r="O163" s="207"/>
      <c r="P163" s="207"/>
      <c r="Q163" s="207"/>
      <c r="R163" s="117"/>
      <c r="T163" s="118"/>
      <c r="W163" s="119">
        <f>SUM($W$164:$W$166)</f>
        <v>6.048</v>
      </c>
      <c r="Y163" s="119">
        <f>SUM($Y$164:$Y$166)</f>
        <v>0.019200000000000002</v>
      </c>
      <c r="AA163" s="120">
        <f>SUM($AA$164:$AA$166)</f>
        <v>0</v>
      </c>
      <c r="AR163" s="116" t="s">
        <v>105</v>
      </c>
      <c r="AT163" s="116" t="s">
        <v>77</v>
      </c>
      <c r="AU163" s="116" t="s">
        <v>21</v>
      </c>
      <c r="AY163" s="116" t="s">
        <v>153</v>
      </c>
      <c r="BK163" s="121">
        <f>SUM($BK$164:$BK$166)</f>
        <v>0</v>
      </c>
    </row>
    <row r="164" spans="2:64" s="6" customFormat="1" ht="27" customHeight="1">
      <c r="B164" s="22"/>
      <c r="C164" s="123" t="s">
        <v>7</v>
      </c>
      <c r="D164" s="123" t="s">
        <v>154</v>
      </c>
      <c r="E164" s="124" t="s">
        <v>223</v>
      </c>
      <c r="F164" s="194" t="s">
        <v>224</v>
      </c>
      <c r="G164" s="195"/>
      <c r="H164" s="195"/>
      <c r="I164" s="195"/>
      <c r="J164" s="125" t="s">
        <v>225</v>
      </c>
      <c r="K164" s="126">
        <v>6</v>
      </c>
      <c r="L164" s="196">
        <v>0</v>
      </c>
      <c r="M164" s="195"/>
      <c r="N164" s="197">
        <f>ROUND($L$164*$K$164,2)</f>
        <v>0</v>
      </c>
      <c r="O164" s="195"/>
      <c r="P164" s="195"/>
      <c r="Q164" s="195"/>
      <c r="R164" s="23"/>
      <c r="T164" s="127"/>
      <c r="U164" s="29" t="s">
        <v>43</v>
      </c>
      <c r="V164" s="128">
        <v>0.864</v>
      </c>
      <c r="W164" s="128">
        <f>$V$164*$K$164</f>
        <v>5.184</v>
      </c>
      <c r="X164" s="128">
        <v>0</v>
      </c>
      <c r="Y164" s="128">
        <f>$X$164*$K$164</f>
        <v>0</v>
      </c>
      <c r="Z164" s="128">
        <v>0</v>
      </c>
      <c r="AA164" s="129">
        <f>$Z$164*$K$164</f>
        <v>0</v>
      </c>
      <c r="AR164" s="6" t="s">
        <v>202</v>
      </c>
      <c r="AT164" s="6" t="s">
        <v>154</v>
      </c>
      <c r="AU164" s="6" t="s">
        <v>105</v>
      </c>
      <c r="AY164" s="6" t="s">
        <v>153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přenesená",$N$164,0)</f>
        <v>0</v>
      </c>
      <c r="BH164" s="82">
        <f>IF($U$164="sníž. přenesená",$N$164,0)</f>
        <v>0</v>
      </c>
      <c r="BI164" s="82">
        <f>IF($U$164="nulová",$N$164,0)</f>
        <v>0</v>
      </c>
      <c r="BJ164" s="6" t="s">
        <v>21</v>
      </c>
      <c r="BK164" s="82">
        <f>ROUND($L$164*$K$164,2)</f>
        <v>0</v>
      </c>
      <c r="BL164" s="6" t="s">
        <v>202</v>
      </c>
    </row>
    <row r="165" spans="2:64" s="6" customFormat="1" ht="15.75" customHeight="1">
      <c r="B165" s="22"/>
      <c r="C165" s="136" t="s">
        <v>226</v>
      </c>
      <c r="D165" s="136" t="s">
        <v>204</v>
      </c>
      <c r="E165" s="137" t="s">
        <v>227</v>
      </c>
      <c r="F165" s="200" t="s">
        <v>228</v>
      </c>
      <c r="G165" s="201"/>
      <c r="H165" s="201"/>
      <c r="I165" s="201"/>
      <c r="J165" s="138" t="s">
        <v>225</v>
      </c>
      <c r="K165" s="139">
        <v>6</v>
      </c>
      <c r="L165" s="202">
        <v>0</v>
      </c>
      <c r="M165" s="201"/>
      <c r="N165" s="203">
        <f>ROUND($L$165*$K$165,2)</f>
        <v>0</v>
      </c>
      <c r="O165" s="195"/>
      <c r="P165" s="195"/>
      <c r="Q165" s="195"/>
      <c r="R165" s="23"/>
      <c r="T165" s="127"/>
      <c r="U165" s="29" t="s">
        <v>43</v>
      </c>
      <c r="V165" s="128">
        <v>0</v>
      </c>
      <c r="W165" s="128">
        <f>$V$165*$K$165</f>
        <v>0</v>
      </c>
      <c r="X165" s="128">
        <v>0.0032</v>
      </c>
      <c r="Y165" s="128">
        <f>$X$165*$K$165</f>
        <v>0.019200000000000002</v>
      </c>
      <c r="Z165" s="128">
        <v>0</v>
      </c>
      <c r="AA165" s="129">
        <f>$Z$165*$K$165</f>
        <v>0</v>
      </c>
      <c r="AR165" s="6" t="s">
        <v>207</v>
      </c>
      <c r="AT165" s="6" t="s">
        <v>204</v>
      </c>
      <c r="AU165" s="6" t="s">
        <v>105</v>
      </c>
      <c r="AY165" s="6" t="s">
        <v>153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přenesená",$N$165,0)</f>
        <v>0</v>
      </c>
      <c r="BH165" s="82">
        <f>IF($U$165="sníž. přenesená",$N$165,0)</f>
        <v>0</v>
      </c>
      <c r="BI165" s="82">
        <f>IF($U$165="nulová",$N$165,0)</f>
        <v>0</v>
      </c>
      <c r="BJ165" s="6" t="s">
        <v>21</v>
      </c>
      <c r="BK165" s="82">
        <f>ROUND($L$165*$K$165,2)</f>
        <v>0</v>
      </c>
      <c r="BL165" s="6" t="s">
        <v>202</v>
      </c>
    </row>
    <row r="166" spans="2:64" s="6" customFormat="1" ht="27" customHeight="1">
      <c r="B166" s="22"/>
      <c r="C166" s="123" t="s">
        <v>229</v>
      </c>
      <c r="D166" s="123" t="s">
        <v>154</v>
      </c>
      <c r="E166" s="124" t="s">
        <v>230</v>
      </c>
      <c r="F166" s="194" t="s">
        <v>231</v>
      </c>
      <c r="G166" s="195"/>
      <c r="H166" s="195"/>
      <c r="I166" s="195"/>
      <c r="J166" s="125" t="s">
        <v>225</v>
      </c>
      <c r="K166" s="126">
        <v>1</v>
      </c>
      <c r="L166" s="196">
        <v>0</v>
      </c>
      <c r="M166" s="195"/>
      <c r="N166" s="197">
        <f>ROUND($L$166*$K$166,2)</f>
        <v>0</v>
      </c>
      <c r="O166" s="195"/>
      <c r="P166" s="195"/>
      <c r="Q166" s="195"/>
      <c r="R166" s="23"/>
      <c r="T166" s="127"/>
      <c r="U166" s="29" t="s">
        <v>43</v>
      </c>
      <c r="V166" s="128">
        <v>0.864</v>
      </c>
      <c r="W166" s="128">
        <f>$V$166*$K$166</f>
        <v>0.864</v>
      </c>
      <c r="X166" s="128">
        <v>0</v>
      </c>
      <c r="Y166" s="128">
        <f>$X$166*$K$166</f>
        <v>0</v>
      </c>
      <c r="Z166" s="128">
        <v>0</v>
      </c>
      <c r="AA166" s="129">
        <f>$Z$166*$K$166</f>
        <v>0</v>
      </c>
      <c r="AR166" s="6" t="s">
        <v>202</v>
      </c>
      <c r="AT166" s="6" t="s">
        <v>154</v>
      </c>
      <c r="AU166" s="6" t="s">
        <v>105</v>
      </c>
      <c r="AY166" s="6" t="s">
        <v>153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přenesená",$N$166,0)</f>
        <v>0</v>
      </c>
      <c r="BH166" s="82">
        <f>IF($U$166="sníž. přenesená",$N$166,0)</f>
        <v>0</v>
      </c>
      <c r="BI166" s="82">
        <f>IF($U$166="nulová",$N$166,0)</f>
        <v>0</v>
      </c>
      <c r="BJ166" s="6" t="s">
        <v>21</v>
      </c>
      <c r="BK166" s="82">
        <f>ROUND($L$166*$K$166,2)</f>
        <v>0</v>
      </c>
      <c r="BL166" s="6" t="s">
        <v>202</v>
      </c>
    </row>
    <row r="167" spans="2:63" s="113" customFormat="1" ht="30.75" customHeight="1">
      <c r="B167" s="114"/>
      <c r="D167" s="122" t="s">
        <v>121</v>
      </c>
      <c r="N167" s="208">
        <f>$BK$167</f>
        <v>0</v>
      </c>
      <c r="O167" s="207"/>
      <c r="P167" s="207"/>
      <c r="Q167" s="207"/>
      <c r="R167" s="117"/>
      <c r="T167" s="118"/>
      <c r="W167" s="119">
        <f>SUM($W$168:$W$183)</f>
        <v>82.187</v>
      </c>
      <c r="Y167" s="119">
        <f>SUM($Y$168:$Y$183)</f>
        <v>0</v>
      </c>
      <c r="AA167" s="120">
        <f>SUM($AA$168:$AA$183)</f>
        <v>0</v>
      </c>
      <c r="AR167" s="116" t="s">
        <v>105</v>
      </c>
      <c r="AT167" s="116" t="s">
        <v>77</v>
      </c>
      <c r="AU167" s="116" t="s">
        <v>21</v>
      </c>
      <c r="AY167" s="116" t="s">
        <v>153</v>
      </c>
      <c r="BK167" s="121">
        <f>SUM($BK$168:$BK$183)</f>
        <v>0</v>
      </c>
    </row>
    <row r="168" spans="2:64" s="6" customFormat="1" ht="15.75" customHeight="1">
      <c r="B168" s="22"/>
      <c r="C168" s="123" t="s">
        <v>232</v>
      </c>
      <c r="D168" s="123" t="s">
        <v>154</v>
      </c>
      <c r="E168" s="124" t="s">
        <v>233</v>
      </c>
      <c r="F168" s="194" t="s">
        <v>234</v>
      </c>
      <c r="G168" s="195"/>
      <c r="H168" s="195"/>
      <c r="I168" s="195"/>
      <c r="J168" s="125" t="s">
        <v>225</v>
      </c>
      <c r="K168" s="126">
        <v>2</v>
      </c>
      <c r="L168" s="196">
        <v>0</v>
      </c>
      <c r="M168" s="195"/>
      <c r="N168" s="197">
        <f>ROUND($L$168*$K$168,2)</f>
        <v>0</v>
      </c>
      <c r="O168" s="195"/>
      <c r="P168" s="195"/>
      <c r="Q168" s="195"/>
      <c r="R168" s="23"/>
      <c r="T168" s="127"/>
      <c r="U168" s="29" t="s">
        <v>43</v>
      </c>
      <c r="V168" s="128">
        <v>0.413</v>
      </c>
      <c r="W168" s="128">
        <f>$V$168*$K$168</f>
        <v>0.826</v>
      </c>
      <c r="X168" s="128">
        <v>0</v>
      </c>
      <c r="Y168" s="128">
        <f>$X$168*$K$168</f>
        <v>0</v>
      </c>
      <c r="Z168" s="128">
        <v>0</v>
      </c>
      <c r="AA168" s="129">
        <f>$Z$168*$K$168</f>
        <v>0</v>
      </c>
      <c r="AR168" s="6" t="s">
        <v>202</v>
      </c>
      <c r="AT168" s="6" t="s">
        <v>154</v>
      </c>
      <c r="AU168" s="6" t="s">
        <v>105</v>
      </c>
      <c r="AY168" s="6" t="s">
        <v>153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přenesená",$N$168,0)</f>
        <v>0</v>
      </c>
      <c r="BH168" s="82">
        <f>IF($U$168="sníž. přenesená",$N$168,0)</f>
        <v>0</v>
      </c>
      <c r="BI168" s="82">
        <f>IF($U$168="nulová",$N$168,0)</f>
        <v>0</v>
      </c>
      <c r="BJ168" s="6" t="s">
        <v>21</v>
      </c>
      <c r="BK168" s="82">
        <f>ROUND($L$168*$K$168,2)</f>
        <v>0</v>
      </c>
      <c r="BL168" s="6" t="s">
        <v>202</v>
      </c>
    </row>
    <row r="169" spans="2:64" s="6" customFormat="1" ht="15.75" customHeight="1">
      <c r="B169" s="22"/>
      <c r="C169" s="123" t="s">
        <v>235</v>
      </c>
      <c r="D169" s="123" t="s">
        <v>154</v>
      </c>
      <c r="E169" s="124" t="s">
        <v>236</v>
      </c>
      <c r="F169" s="194" t="s">
        <v>237</v>
      </c>
      <c r="G169" s="195"/>
      <c r="H169" s="195"/>
      <c r="I169" s="195"/>
      <c r="J169" s="125" t="s">
        <v>225</v>
      </c>
      <c r="K169" s="126">
        <v>2</v>
      </c>
      <c r="L169" s="196">
        <v>0</v>
      </c>
      <c r="M169" s="195"/>
      <c r="N169" s="197">
        <f>ROUND($L$169*$K$169,2)</f>
        <v>0</v>
      </c>
      <c r="O169" s="195"/>
      <c r="P169" s="195"/>
      <c r="Q169" s="195"/>
      <c r="R169" s="23"/>
      <c r="T169" s="127"/>
      <c r="U169" s="29" t="s">
        <v>43</v>
      </c>
      <c r="V169" s="128">
        <v>0.551</v>
      </c>
      <c r="W169" s="128">
        <f>$V$169*$K$169</f>
        <v>1.102</v>
      </c>
      <c r="X169" s="128">
        <v>0</v>
      </c>
      <c r="Y169" s="128">
        <f>$X$169*$K$169</f>
        <v>0</v>
      </c>
      <c r="Z169" s="128">
        <v>0</v>
      </c>
      <c r="AA169" s="129">
        <f>$Z$169*$K$169</f>
        <v>0</v>
      </c>
      <c r="AR169" s="6" t="s">
        <v>202</v>
      </c>
      <c r="AT169" s="6" t="s">
        <v>154</v>
      </c>
      <c r="AU169" s="6" t="s">
        <v>105</v>
      </c>
      <c r="AY169" s="6" t="s">
        <v>153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přenesená",$N$169,0)</f>
        <v>0</v>
      </c>
      <c r="BH169" s="82">
        <f>IF($U$169="sníž. přenesená",$N$169,0)</f>
        <v>0</v>
      </c>
      <c r="BI169" s="82">
        <f>IF($U$169="nulová",$N$169,0)</f>
        <v>0</v>
      </c>
      <c r="BJ169" s="6" t="s">
        <v>21</v>
      </c>
      <c r="BK169" s="82">
        <f>ROUND($L$169*$K$169,2)</f>
        <v>0</v>
      </c>
      <c r="BL169" s="6" t="s">
        <v>202</v>
      </c>
    </row>
    <row r="170" spans="2:64" s="6" customFormat="1" ht="15.75" customHeight="1">
      <c r="B170" s="22"/>
      <c r="C170" s="123" t="s">
        <v>238</v>
      </c>
      <c r="D170" s="123" t="s">
        <v>154</v>
      </c>
      <c r="E170" s="124" t="s">
        <v>239</v>
      </c>
      <c r="F170" s="194" t="s">
        <v>240</v>
      </c>
      <c r="G170" s="195"/>
      <c r="H170" s="195"/>
      <c r="I170" s="195"/>
      <c r="J170" s="125" t="s">
        <v>225</v>
      </c>
      <c r="K170" s="126">
        <v>2</v>
      </c>
      <c r="L170" s="196">
        <v>0</v>
      </c>
      <c r="M170" s="195"/>
      <c r="N170" s="197">
        <f>ROUND($L$170*$K$170,2)</f>
        <v>0</v>
      </c>
      <c r="O170" s="195"/>
      <c r="P170" s="195"/>
      <c r="Q170" s="195"/>
      <c r="R170" s="23"/>
      <c r="T170" s="127"/>
      <c r="U170" s="29" t="s">
        <v>43</v>
      </c>
      <c r="V170" s="128">
        <v>0.551</v>
      </c>
      <c r="W170" s="128">
        <f>$V$170*$K$170</f>
        <v>1.102</v>
      </c>
      <c r="X170" s="128">
        <v>0</v>
      </c>
      <c r="Y170" s="128">
        <f>$X$170*$K$170</f>
        <v>0</v>
      </c>
      <c r="Z170" s="128">
        <v>0</v>
      </c>
      <c r="AA170" s="129">
        <f>$Z$170*$K$170</f>
        <v>0</v>
      </c>
      <c r="AR170" s="6" t="s">
        <v>202</v>
      </c>
      <c r="AT170" s="6" t="s">
        <v>154</v>
      </c>
      <c r="AU170" s="6" t="s">
        <v>105</v>
      </c>
      <c r="AY170" s="6" t="s">
        <v>153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přenesená",$N$170,0)</f>
        <v>0</v>
      </c>
      <c r="BH170" s="82">
        <f>IF($U$170="sníž. přenesená",$N$170,0)</f>
        <v>0</v>
      </c>
      <c r="BI170" s="82">
        <f>IF($U$170="nulová",$N$170,0)</f>
        <v>0</v>
      </c>
      <c r="BJ170" s="6" t="s">
        <v>21</v>
      </c>
      <c r="BK170" s="82">
        <f>ROUND($L$170*$K$170,2)</f>
        <v>0</v>
      </c>
      <c r="BL170" s="6" t="s">
        <v>202</v>
      </c>
    </row>
    <row r="171" spans="2:64" s="6" customFormat="1" ht="27" customHeight="1">
      <c r="B171" s="22"/>
      <c r="C171" s="123" t="s">
        <v>241</v>
      </c>
      <c r="D171" s="123" t="s">
        <v>154</v>
      </c>
      <c r="E171" s="124" t="s">
        <v>242</v>
      </c>
      <c r="F171" s="194" t="s">
        <v>243</v>
      </c>
      <c r="G171" s="195"/>
      <c r="H171" s="195"/>
      <c r="I171" s="195"/>
      <c r="J171" s="125" t="s">
        <v>225</v>
      </c>
      <c r="K171" s="126">
        <v>2</v>
      </c>
      <c r="L171" s="196">
        <v>0</v>
      </c>
      <c r="M171" s="195"/>
      <c r="N171" s="197">
        <f>ROUND($L$171*$K$171,2)</f>
        <v>0</v>
      </c>
      <c r="O171" s="195"/>
      <c r="P171" s="195"/>
      <c r="Q171" s="195"/>
      <c r="R171" s="23"/>
      <c r="T171" s="127"/>
      <c r="U171" s="29" t="s">
        <v>43</v>
      </c>
      <c r="V171" s="128">
        <v>0.551</v>
      </c>
      <c r="W171" s="128">
        <f>$V$171*$K$171</f>
        <v>1.102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202</v>
      </c>
      <c r="AT171" s="6" t="s">
        <v>154</v>
      </c>
      <c r="AU171" s="6" t="s">
        <v>105</v>
      </c>
      <c r="AY171" s="6" t="s">
        <v>153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přenesená",$N$171,0)</f>
        <v>0</v>
      </c>
      <c r="BH171" s="82">
        <f>IF($U$171="sníž. přenesená",$N$171,0)</f>
        <v>0</v>
      </c>
      <c r="BI171" s="82">
        <f>IF($U$171="nulová",$N$171,0)</f>
        <v>0</v>
      </c>
      <c r="BJ171" s="6" t="s">
        <v>21</v>
      </c>
      <c r="BK171" s="82">
        <f>ROUND($L$171*$K$171,2)</f>
        <v>0</v>
      </c>
      <c r="BL171" s="6" t="s">
        <v>202</v>
      </c>
    </row>
    <row r="172" spans="2:64" s="6" customFormat="1" ht="27" customHeight="1">
      <c r="B172" s="22"/>
      <c r="C172" s="123" t="s">
        <v>244</v>
      </c>
      <c r="D172" s="123" t="s">
        <v>154</v>
      </c>
      <c r="E172" s="124" t="s">
        <v>245</v>
      </c>
      <c r="F172" s="194" t="s">
        <v>246</v>
      </c>
      <c r="G172" s="195"/>
      <c r="H172" s="195"/>
      <c r="I172" s="195"/>
      <c r="J172" s="125" t="s">
        <v>225</v>
      </c>
      <c r="K172" s="126">
        <v>1</v>
      </c>
      <c r="L172" s="196">
        <v>0</v>
      </c>
      <c r="M172" s="195"/>
      <c r="N172" s="197">
        <f>ROUND($L$172*$K$172,2)</f>
        <v>0</v>
      </c>
      <c r="O172" s="195"/>
      <c r="P172" s="195"/>
      <c r="Q172" s="195"/>
      <c r="R172" s="23"/>
      <c r="T172" s="127"/>
      <c r="U172" s="29" t="s">
        <v>43</v>
      </c>
      <c r="V172" s="128">
        <v>0.551</v>
      </c>
      <c r="W172" s="128">
        <f>$V$172*$K$172</f>
        <v>0.551</v>
      </c>
      <c r="X172" s="128">
        <v>0</v>
      </c>
      <c r="Y172" s="128">
        <f>$X$172*$K$172</f>
        <v>0</v>
      </c>
      <c r="Z172" s="128">
        <v>0</v>
      </c>
      <c r="AA172" s="129">
        <f>$Z$172*$K$172</f>
        <v>0</v>
      </c>
      <c r="AR172" s="6" t="s">
        <v>202</v>
      </c>
      <c r="AT172" s="6" t="s">
        <v>154</v>
      </c>
      <c r="AU172" s="6" t="s">
        <v>105</v>
      </c>
      <c r="AY172" s="6" t="s">
        <v>153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přenesená",$N$172,0)</f>
        <v>0</v>
      </c>
      <c r="BH172" s="82">
        <f>IF($U$172="sníž. přenesená",$N$172,0)</f>
        <v>0</v>
      </c>
      <c r="BI172" s="82">
        <f>IF($U$172="nulová",$N$172,0)</f>
        <v>0</v>
      </c>
      <c r="BJ172" s="6" t="s">
        <v>21</v>
      </c>
      <c r="BK172" s="82">
        <f>ROUND($L$172*$K$172,2)</f>
        <v>0</v>
      </c>
      <c r="BL172" s="6" t="s">
        <v>202</v>
      </c>
    </row>
    <row r="173" spans="2:64" s="6" customFormat="1" ht="27" customHeight="1">
      <c r="B173" s="22"/>
      <c r="C173" s="123" t="s">
        <v>247</v>
      </c>
      <c r="D173" s="123" t="s">
        <v>154</v>
      </c>
      <c r="E173" s="124" t="s">
        <v>248</v>
      </c>
      <c r="F173" s="194" t="s">
        <v>249</v>
      </c>
      <c r="G173" s="195"/>
      <c r="H173" s="195"/>
      <c r="I173" s="195"/>
      <c r="J173" s="125" t="s">
        <v>225</v>
      </c>
      <c r="K173" s="126">
        <v>4</v>
      </c>
      <c r="L173" s="196">
        <v>0</v>
      </c>
      <c r="M173" s="195"/>
      <c r="N173" s="197">
        <f>ROUND($L$173*$K$173,2)</f>
        <v>0</v>
      </c>
      <c r="O173" s="195"/>
      <c r="P173" s="195"/>
      <c r="Q173" s="195"/>
      <c r="R173" s="23"/>
      <c r="T173" s="127"/>
      <c r="U173" s="29" t="s">
        <v>43</v>
      </c>
      <c r="V173" s="128">
        <v>0.551</v>
      </c>
      <c r="W173" s="128">
        <f>$V$173*$K$173</f>
        <v>2.204</v>
      </c>
      <c r="X173" s="128">
        <v>0</v>
      </c>
      <c r="Y173" s="128">
        <f>$X$173*$K$173</f>
        <v>0</v>
      </c>
      <c r="Z173" s="128">
        <v>0</v>
      </c>
      <c r="AA173" s="129">
        <f>$Z$173*$K$173</f>
        <v>0</v>
      </c>
      <c r="AR173" s="6" t="s">
        <v>202</v>
      </c>
      <c r="AT173" s="6" t="s">
        <v>154</v>
      </c>
      <c r="AU173" s="6" t="s">
        <v>105</v>
      </c>
      <c r="AY173" s="6" t="s">
        <v>153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přenesená",$N$173,0)</f>
        <v>0</v>
      </c>
      <c r="BH173" s="82">
        <f>IF($U$173="sníž. přenesená",$N$173,0)</f>
        <v>0</v>
      </c>
      <c r="BI173" s="82">
        <f>IF($U$173="nulová",$N$173,0)</f>
        <v>0</v>
      </c>
      <c r="BJ173" s="6" t="s">
        <v>21</v>
      </c>
      <c r="BK173" s="82">
        <f>ROUND($L$173*$K$173,2)</f>
        <v>0</v>
      </c>
      <c r="BL173" s="6" t="s">
        <v>202</v>
      </c>
    </row>
    <row r="174" spans="2:64" s="6" customFormat="1" ht="15.75" customHeight="1">
      <c r="B174" s="22"/>
      <c r="C174" s="123" t="s">
        <v>250</v>
      </c>
      <c r="D174" s="123" t="s">
        <v>154</v>
      </c>
      <c r="E174" s="124" t="s">
        <v>251</v>
      </c>
      <c r="F174" s="194" t="s">
        <v>252</v>
      </c>
      <c r="G174" s="195"/>
      <c r="H174" s="195"/>
      <c r="I174" s="195"/>
      <c r="J174" s="125" t="s">
        <v>225</v>
      </c>
      <c r="K174" s="126">
        <v>2</v>
      </c>
      <c r="L174" s="196">
        <v>0</v>
      </c>
      <c r="M174" s="195"/>
      <c r="N174" s="197">
        <f>ROUND($L$174*$K$174,2)</f>
        <v>0</v>
      </c>
      <c r="O174" s="195"/>
      <c r="P174" s="195"/>
      <c r="Q174" s="195"/>
      <c r="R174" s="23"/>
      <c r="T174" s="127"/>
      <c r="U174" s="29" t="s">
        <v>43</v>
      </c>
      <c r="V174" s="128">
        <v>2.481</v>
      </c>
      <c r="W174" s="128">
        <f>$V$174*$K$174</f>
        <v>4.962</v>
      </c>
      <c r="X174" s="128">
        <v>0</v>
      </c>
      <c r="Y174" s="128">
        <f>$X$174*$K$174</f>
        <v>0</v>
      </c>
      <c r="Z174" s="128">
        <v>0</v>
      </c>
      <c r="AA174" s="129">
        <f>$Z$174*$K$174</f>
        <v>0</v>
      </c>
      <c r="AR174" s="6" t="s">
        <v>202</v>
      </c>
      <c r="AT174" s="6" t="s">
        <v>154</v>
      </c>
      <c r="AU174" s="6" t="s">
        <v>105</v>
      </c>
      <c r="AY174" s="6" t="s">
        <v>153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přenesená",$N$174,0)</f>
        <v>0</v>
      </c>
      <c r="BH174" s="82">
        <f>IF($U$174="sníž. přenesená",$N$174,0)</f>
        <v>0</v>
      </c>
      <c r="BI174" s="82">
        <f>IF($U$174="nulová",$N$174,0)</f>
        <v>0</v>
      </c>
      <c r="BJ174" s="6" t="s">
        <v>21</v>
      </c>
      <c r="BK174" s="82">
        <f>ROUND($L$174*$K$174,2)</f>
        <v>0</v>
      </c>
      <c r="BL174" s="6" t="s">
        <v>202</v>
      </c>
    </row>
    <row r="175" spans="2:64" s="6" customFormat="1" ht="15.75" customHeight="1">
      <c r="B175" s="22"/>
      <c r="C175" s="123" t="s">
        <v>253</v>
      </c>
      <c r="D175" s="123" t="s">
        <v>154</v>
      </c>
      <c r="E175" s="124" t="s">
        <v>254</v>
      </c>
      <c r="F175" s="194" t="s">
        <v>255</v>
      </c>
      <c r="G175" s="195"/>
      <c r="H175" s="195"/>
      <c r="I175" s="195"/>
      <c r="J175" s="125" t="s">
        <v>225</v>
      </c>
      <c r="K175" s="126">
        <v>1</v>
      </c>
      <c r="L175" s="196">
        <v>0</v>
      </c>
      <c r="M175" s="195"/>
      <c r="N175" s="197">
        <f>ROUND($L$175*$K$175,2)</f>
        <v>0</v>
      </c>
      <c r="O175" s="195"/>
      <c r="P175" s="195"/>
      <c r="Q175" s="195"/>
      <c r="R175" s="23"/>
      <c r="T175" s="127"/>
      <c r="U175" s="29" t="s">
        <v>43</v>
      </c>
      <c r="V175" s="128">
        <v>2.481</v>
      </c>
      <c r="W175" s="128">
        <f>$V$175*$K$175</f>
        <v>2.481</v>
      </c>
      <c r="X175" s="128">
        <v>0</v>
      </c>
      <c r="Y175" s="128">
        <f>$X$175*$K$175</f>
        <v>0</v>
      </c>
      <c r="Z175" s="128">
        <v>0</v>
      </c>
      <c r="AA175" s="129">
        <f>$Z$175*$K$175</f>
        <v>0</v>
      </c>
      <c r="AR175" s="6" t="s">
        <v>202</v>
      </c>
      <c r="AT175" s="6" t="s">
        <v>154</v>
      </c>
      <c r="AU175" s="6" t="s">
        <v>105</v>
      </c>
      <c r="AY175" s="6" t="s">
        <v>153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přenesená",$N$175,0)</f>
        <v>0</v>
      </c>
      <c r="BH175" s="82">
        <f>IF($U$175="sníž. přenesená",$N$175,0)</f>
        <v>0</v>
      </c>
      <c r="BI175" s="82">
        <f>IF($U$175="nulová",$N$175,0)</f>
        <v>0</v>
      </c>
      <c r="BJ175" s="6" t="s">
        <v>21</v>
      </c>
      <c r="BK175" s="82">
        <f>ROUND($L$175*$K$175,2)</f>
        <v>0</v>
      </c>
      <c r="BL175" s="6" t="s">
        <v>202</v>
      </c>
    </row>
    <row r="176" spans="2:64" s="6" customFormat="1" ht="15.75" customHeight="1">
      <c r="B176" s="22"/>
      <c r="C176" s="123" t="s">
        <v>207</v>
      </c>
      <c r="D176" s="123" t="s">
        <v>154</v>
      </c>
      <c r="E176" s="124" t="s">
        <v>256</v>
      </c>
      <c r="F176" s="194" t="s">
        <v>257</v>
      </c>
      <c r="G176" s="195"/>
      <c r="H176" s="195"/>
      <c r="I176" s="195"/>
      <c r="J176" s="125" t="s">
        <v>225</v>
      </c>
      <c r="K176" s="126">
        <v>4</v>
      </c>
      <c r="L176" s="196">
        <v>0</v>
      </c>
      <c r="M176" s="195"/>
      <c r="N176" s="197">
        <f>ROUND($L$176*$K$176,2)</f>
        <v>0</v>
      </c>
      <c r="O176" s="195"/>
      <c r="P176" s="195"/>
      <c r="Q176" s="195"/>
      <c r="R176" s="23"/>
      <c r="T176" s="127"/>
      <c r="U176" s="29" t="s">
        <v>43</v>
      </c>
      <c r="V176" s="128">
        <v>2.481</v>
      </c>
      <c r="W176" s="128">
        <f>$V$176*$K$176</f>
        <v>9.924</v>
      </c>
      <c r="X176" s="128">
        <v>0</v>
      </c>
      <c r="Y176" s="128">
        <f>$X$176*$K$176</f>
        <v>0</v>
      </c>
      <c r="Z176" s="128">
        <v>0</v>
      </c>
      <c r="AA176" s="129">
        <f>$Z$176*$K$176</f>
        <v>0</v>
      </c>
      <c r="AR176" s="6" t="s">
        <v>202</v>
      </c>
      <c r="AT176" s="6" t="s">
        <v>154</v>
      </c>
      <c r="AU176" s="6" t="s">
        <v>105</v>
      </c>
      <c r="AY176" s="6" t="s">
        <v>153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přenesená",$N$176,0)</f>
        <v>0</v>
      </c>
      <c r="BH176" s="82">
        <f>IF($U$176="sníž. přenesená",$N$176,0)</f>
        <v>0</v>
      </c>
      <c r="BI176" s="82">
        <f>IF($U$176="nulová",$N$176,0)</f>
        <v>0</v>
      </c>
      <c r="BJ176" s="6" t="s">
        <v>21</v>
      </c>
      <c r="BK176" s="82">
        <f>ROUND($L$176*$K$176,2)</f>
        <v>0</v>
      </c>
      <c r="BL176" s="6" t="s">
        <v>202</v>
      </c>
    </row>
    <row r="177" spans="2:64" s="6" customFormat="1" ht="15.75" customHeight="1">
      <c r="B177" s="22"/>
      <c r="C177" s="123" t="s">
        <v>258</v>
      </c>
      <c r="D177" s="123" t="s">
        <v>154</v>
      </c>
      <c r="E177" s="124" t="s">
        <v>259</v>
      </c>
      <c r="F177" s="194" t="s">
        <v>260</v>
      </c>
      <c r="G177" s="195"/>
      <c r="H177" s="195"/>
      <c r="I177" s="195"/>
      <c r="J177" s="125" t="s">
        <v>225</v>
      </c>
      <c r="K177" s="126">
        <v>5</v>
      </c>
      <c r="L177" s="196">
        <v>0</v>
      </c>
      <c r="M177" s="195"/>
      <c r="N177" s="197">
        <f>ROUND($L$177*$K$177,2)</f>
        <v>0</v>
      </c>
      <c r="O177" s="195"/>
      <c r="P177" s="195"/>
      <c r="Q177" s="195"/>
      <c r="R177" s="23"/>
      <c r="T177" s="127"/>
      <c r="U177" s="29" t="s">
        <v>43</v>
      </c>
      <c r="V177" s="128">
        <v>2.481</v>
      </c>
      <c r="W177" s="128">
        <f>$V$177*$K$177</f>
        <v>12.405</v>
      </c>
      <c r="X177" s="128">
        <v>0</v>
      </c>
      <c r="Y177" s="128">
        <f>$X$177*$K$177</f>
        <v>0</v>
      </c>
      <c r="Z177" s="128">
        <v>0</v>
      </c>
      <c r="AA177" s="129">
        <f>$Z$177*$K$177</f>
        <v>0</v>
      </c>
      <c r="AR177" s="6" t="s">
        <v>202</v>
      </c>
      <c r="AT177" s="6" t="s">
        <v>154</v>
      </c>
      <c r="AU177" s="6" t="s">
        <v>105</v>
      </c>
      <c r="AY177" s="6" t="s">
        <v>153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přenesená",$N$177,0)</f>
        <v>0</v>
      </c>
      <c r="BH177" s="82">
        <f>IF($U$177="sníž. přenesená",$N$177,0)</f>
        <v>0</v>
      </c>
      <c r="BI177" s="82">
        <f>IF($U$177="nulová",$N$177,0)</f>
        <v>0</v>
      </c>
      <c r="BJ177" s="6" t="s">
        <v>21</v>
      </c>
      <c r="BK177" s="82">
        <f>ROUND($L$177*$K$177,2)</f>
        <v>0</v>
      </c>
      <c r="BL177" s="6" t="s">
        <v>202</v>
      </c>
    </row>
    <row r="178" spans="2:64" s="6" customFormat="1" ht="15.75" customHeight="1">
      <c r="B178" s="22"/>
      <c r="C178" s="123" t="s">
        <v>261</v>
      </c>
      <c r="D178" s="123" t="s">
        <v>154</v>
      </c>
      <c r="E178" s="124" t="s">
        <v>262</v>
      </c>
      <c r="F178" s="194" t="s">
        <v>263</v>
      </c>
      <c r="G178" s="195"/>
      <c r="H178" s="195"/>
      <c r="I178" s="195"/>
      <c r="J178" s="125" t="s">
        <v>225</v>
      </c>
      <c r="K178" s="126">
        <v>8</v>
      </c>
      <c r="L178" s="196">
        <v>0</v>
      </c>
      <c r="M178" s="195"/>
      <c r="N178" s="197">
        <f>ROUND($L$178*$K$178,2)</f>
        <v>0</v>
      </c>
      <c r="O178" s="195"/>
      <c r="P178" s="195"/>
      <c r="Q178" s="195"/>
      <c r="R178" s="23"/>
      <c r="T178" s="127"/>
      <c r="U178" s="29" t="s">
        <v>43</v>
      </c>
      <c r="V178" s="128">
        <v>2.481</v>
      </c>
      <c r="W178" s="128">
        <f>$V$178*$K$178</f>
        <v>19.848</v>
      </c>
      <c r="X178" s="128">
        <v>0</v>
      </c>
      <c r="Y178" s="128">
        <f>$X$178*$K$178</f>
        <v>0</v>
      </c>
      <c r="Z178" s="128">
        <v>0</v>
      </c>
      <c r="AA178" s="129">
        <f>$Z$178*$K$178</f>
        <v>0</v>
      </c>
      <c r="AR178" s="6" t="s">
        <v>202</v>
      </c>
      <c r="AT178" s="6" t="s">
        <v>154</v>
      </c>
      <c r="AU178" s="6" t="s">
        <v>105</v>
      </c>
      <c r="AY178" s="6" t="s">
        <v>153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přenesená",$N$178,0)</f>
        <v>0</v>
      </c>
      <c r="BH178" s="82">
        <f>IF($U$178="sníž. přenesená",$N$178,0)</f>
        <v>0</v>
      </c>
      <c r="BI178" s="82">
        <f>IF($U$178="nulová",$N$178,0)</f>
        <v>0</v>
      </c>
      <c r="BJ178" s="6" t="s">
        <v>21</v>
      </c>
      <c r="BK178" s="82">
        <f>ROUND($L$178*$K$178,2)</f>
        <v>0</v>
      </c>
      <c r="BL178" s="6" t="s">
        <v>202</v>
      </c>
    </row>
    <row r="179" spans="2:64" s="6" customFormat="1" ht="15.75" customHeight="1">
      <c r="B179" s="22"/>
      <c r="C179" s="123" t="s">
        <v>264</v>
      </c>
      <c r="D179" s="123" t="s">
        <v>154</v>
      </c>
      <c r="E179" s="124" t="s">
        <v>265</v>
      </c>
      <c r="F179" s="194" t="s">
        <v>266</v>
      </c>
      <c r="G179" s="195"/>
      <c r="H179" s="195"/>
      <c r="I179" s="195"/>
      <c r="J179" s="125" t="s">
        <v>225</v>
      </c>
      <c r="K179" s="126">
        <v>2</v>
      </c>
      <c r="L179" s="196">
        <v>0</v>
      </c>
      <c r="M179" s="195"/>
      <c r="N179" s="197">
        <f>ROUND($L$179*$K$179,2)</f>
        <v>0</v>
      </c>
      <c r="O179" s="195"/>
      <c r="P179" s="195"/>
      <c r="Q179" s="195"/>
      <c r="R179" s="23"/>
      <c r="T179" s="127"/>
      <c r="U179" s="29" t="s">
        <v>43</v>
      </c>
      <c r="V179" s="128">
        <v>2.481</v>
      </c>
      <c r="W179" s="128">
        <f>$V$179*$K$179</f>
        <v>4.962</v>
      </c>
      <c r="X179" s="128">
        <v>0</v>
      </c>
      <c r="Y179" s="128">
        <f>$X$179*$K$179</f>
        <v>0</v>
      </c>
      <c r="Z179" s="128">
        <v>0</v>
      </c>
      <c r="AA179" s="129">
        <f>$Z$179*$K$179</f>
        <v>0</v>
      </c>
      <c r="AR179" s="6" t="s">
        <v>202</v>
      </c>
      <c r="AT179" s="6" t="s">
        <v>154</v>
      </c>
      <c r="AU179" s="6" t="s">
        <v>105</v>
      </c>
      <c r="AY179" s="6" t="s">
        <v>153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přenesená",$N$179,0)</f>
        <v>0</v>
      </c>
      <c r="BH179" s="82">
        <f>IF($U$179="sníž. přenesená",$N$179,0)</f>
        <v>0</v>
      </c>
      <c r="BI179" s="82">
        <f>IF($U$179="nulová",$N$179,0)</f>
        <v>0</v>
      </c>
      <c r="BJ179" s="6" t="s">
        <v>21</v>
      </c>
      <c r="BK179" s="82">
        <f>ROUND($L$179*$K$179,2)</f>
        <v>0</v>
      </c>
      <c r="BL179" s="6" t="s">
        <v>202</v>
      </c>
    </row>
    <row r="180" spans="2:64" s="6" customFormat="1" ht="27" customHeight="1">
      <c r="B180" s="22"/>
      <c r="C180" s="123" t="s">
        <v>267</v>
      </c>
      <c r="D180" s="123" t="s">
        <v>154</v>
      </c>
      <c r="E180" s="124" t="s">
        <v>268</v>
      </c>
      <c r="F180" s="194" t="s">
        <v>269</v>
      </c>
      <c r="G180" s="195"/>
      <c r="H180" s="195"/>
      <c r="I180" s="195"/>
      <c r="J180" s="125" t="s">
        <v>157</v>
      </c>
      <c r="K180" s="126">
        <v>27.5</v>
      </c>
      <c r="L180" s="196">
        <v>0</v>
      </c>
      <c r="M180" s="195"/>
      <c r="N180" s="197">
        <f>ROUND($L$180*$K$180,2)</f>
        <v>0</v>
      </c>
      <c r="O180" s="195"/>
      <c r="P180" s="195"/>
      <c r="Q180" s="195"/>
      <c r="R180" s="23"/>
      <c r="T180" s="127"/>
      <c r="U180" s="29" t="s">
        <v>43</v>
      </c>
      <c r="V180" s="128">
        <v>0.508</v>
      </c>
      <c r="W180" s="128">
        <f>$V$180*$K$180</f>
        <v>13.97</v>
      </c>
      <c r="X180" s="128">
        <v>0</v>
      </c>
      <c r="Y180" s="128">
        <f>$X$180*$K$180</f>
        <v>0</v>
      </c>
      <c r="Z180" s="128">
        <v>0</v>
      </c>
      <c r="AA180" s="129">
        <f>$Z$180*$K$180</f>
        <v>0</v>
      </c>
      <c r="AR180" s="6" t="s">
        <v>202</v>
      </c>
      <c r="AT180" s="6" t="s">
        <v>154</v>
      </c>
      <c r="AU180" s="6" t="s">
        <v>105</v>
      </c>
      <c r="AY180" s="6" t="s">
        <v>153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přenesená",$N$180,0)</f>
        <v>0</v>
      </c>
      <c r="BH180" s="82">
        <f>IF($U$180="sníž. přenesená",$N$180,0)</f>
        <v>0</v>
      </c>
      <c r="BI180" s="82">
        <f>IF($U$180="nulová",$N$180,0)</f>
        <v>0</v>
      </c>
      <c r="BJ180" s="6" t="s">
        <v>21</v>
      </c>
      <c r="BK180" s="82">
        <f>ROUND($L$180*$K$180,2)</f>
        <v>0</v>
      </c>
      <c r="BL180" s="6" t="s">
        <v>202</v>
      </c>
    </row>
    <row r="181" spans="2:64" s="6" customFormat="1" ht="27" customHeight="1">
      <c r="B181" s="22"/>
      <c r="C181" s="123" t="s">
        <v>270</v>
      </c>
      <c r="D181" s="123" t="s">
        <v>154</v>
      </c>
      <c r="E181" s="124" t="s">
        <v>271</v>
      </c>
      <c r="F181" s="194" t="s">
        <v>272</v>
      </c>
      <c r="G181" s="195"/>
      <c r="H181" s="195"/>
      <c r="I181" s="195"/>
      <c r="J181" s="125" t="s">
        <v>225</v>
      </c>
      <c r="K181" s="126">
        <v>2</v>
      </c>
      <c r="L181" s="196">
        <v>0</v>
      </c>
      <c r="M181" s="195"/>
      <c r="N181" s="197">
        <f>ROUND($L$181*$K$181,2)</f>
        <v>0</v>
      </c>
      <c r="O181" s="195"/>
      <c r="P181" s="195"/>
      <c r="Q181" s="195"/>
      <c r="R181" s="23"/>
      <c r="T181" s="127"/>
      <c r="U181" s="29" t="s">
        <v>43</v>
      </c>
      <c r="V181" s="128">
        <v>0.508</v>
      </c>
      <c r="W181" s="128">
        <f>$V$181*$K$181</f>
        <v>1.016</v>
      </c>
      <c r="X181" s="128">
        <v>0</v>
      </c>
      <c r="Y181" s="128">
        <f>$X$181*$K$181</f>
        <v>0</v>
      </c>
      <c r="Z181" s="128">
        <v>0</v>
      </c>
      <c r="AA181" s="129">
        <f>$Z$181*$K$181</f>
        <v>0</v>
      </c>
      <c r="AR181" s="6" t="s">
        <v>202</v>
      </c>
      <c r="AT181" s="6" t="s">
        <v>154</v>
      </c>
      <c r="AU181" s="6" t="s">
        <v>105</v>
      </c>
      <c r="AY181" s="6" t="s">
        <v>153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přenesená",$N$181,0)</f>
        <v>0</v>
      </c>
      <c r="BH181" s="82">
        <f>IF($U$181="sníž. přenesená",$N$181,0)</f>
        <v>0</v>
      </c>
      <c r="BI181" s="82">
        <f>IF($U$181="nulová",$N$181,0)</f>
        <v>0</v>
      </c>
      <c r="BJ181" s="6" t="s">
        <v>21</v>
      </c>
      <c r="BK181" s="82">
        <f>ROUND($L$181*$K$181,2)</f>
        <v>0</v>
      </c>
      <c r="BL181" s="6" t="s">
        <v>202</v>
      </c>
    </row>
    <row r="182" spans="2:64" s="6" customFormat="1" ht="15.75" customHeight="1">
      <c r="B182" s="22"/>
      <c r="C182" s="123" t="s">
        <v>273</v>
      </c>
      <c r="D182" s="123" t="s">
        <v>154</v>
      </c>
      <c r="E182" s="124" t="s">
        <v>274</v>
      </c>
      <c r="F182" s="194" t="s">
        <v>275</v>
      </c>
      <c r="G182" s="195"/>
      <c r="H182" s="195"/>
      <c r="I182" s="195"/>
      <c r="J182" s="125" t="s">
        <v>225</v>
      </c>
      <c r="K182" s="126">
        <v>4</v>
      </c>
      <c r="L182" s="196">
        <v>0</v>
      </c>
      <c r="M182" s="195"/>
      <c r="N182" s="197">
        <f>ROUND($L$182*$K$182,2)</f>
        <v>0</v>
      </c>
      <c r="O182" s="195"/>
      <c r="P182" s="195"/>
      <c r="Q182" s="195"/>
      <c r="R182" s="23"/>
      <c r="T182" s="127"/>
      <c r="U182" s="29" t="s">
        <v>43</v>
      </c>
      <c r="V182" s="128">
        <v>0.338</v>
      </c>
      <c r="W182" s="128">
        <f>$V$182*$K$182</f>
        <v>1.352</v>
      </c>
      <c r="X182" s="128">
        <v>0</v>
      </c>
      <c r="Y182" s="128">
        <f>$X$182*$K$182</f>
        <v>0</v>
      </c>
      <c r="Z182" s="128">
        <v>0</v>
      </c>
      <c r="AA182" s="129">
        <f>$Z$182*$K$182</f>
        <v>0</v>
      </c>
      <c r="AR182" s="6" t="s">
        <v>202</v>
      </c>
      <c r="AT182" s="6" t="s">
        <v>154</v>
      </c>
      <c r="AU182" s="6" t="s">
        <v>105</v>
      </c>
      <c r="AY182" s="6" t="s">
        <v>153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přenesená",$N$182,0)</f>
        <v>0</v>
      </c>
      <c r="BH182" s="82">
        <f>IF($U$182="sníž. přenesená",$N$182,0)</f>
        <v>0</v>
      </c>
      <c r="BI182" s="82">
        <f>IF($U$182="nulová",$N$182,0)</f>
        <v>0</v>
      </c>
      <c r="BJ182" s="6" t="s">
        <v>21</v>
      </c>
      <c r="BK182" s="82">
        <f>ROUND($L$182*$K$182,2)</f>
        <v>0</v>
      </c>
      <c r="BL182" s="6" t="s">
        <v>202</v>
      </c>
    </row>
    <row r="183" spans="2:64" s="6" customFormat="1" ht="15.75" customHeight="1">
      <c r="B183" s="22"/>
      <c r="C183" s="123" t="s">
        <v>276</v>
      </c>
      <c r="D183" s="123" t="s">
        <v>154</v>
      </c>
      <c r="E183" s="124" t="s">
        <v>277</v>
      </c>
      <c r="F183" s="194" t="s">
        <v>278</v>
      </c>
      <c r="G183" s="195"/>
      <c r="H183" s="195"/>
      <c r="I183" s="195"/>
      <c r="J183" s="125" t="s">
        <v>279</v>
      </c>
      <c r="K183" s="126">
        <v>1</v>
      </c>
      <c r="L183" s="196">
        <v>0</v>
      </c>
      <c r="M183" s="195"/>
      <c r="N183" s="197">
        <f>ROUND($L$183*$K$183,2)</f>
        <v>0</v>
      </c>
      <c r="O183" s="195"/>
      <c r="P183" s="195"/>
      <c r="Q183" s="195"/>
      <c r="R183" s="23"/>
      <c r="T183" s="127"/>
      <c r="U183" s="29" t="s">
        <v>43</v>
      </c>
      <c r="V183" s="128">
        <v>4.38</v>
      </c>
      <c r="W183" s="128">
        <f>$V$183*$K$183</f>
        <v>4.38</v>
      </c>
      <c r="X183" s="128">
        <v>0</v>
      </c>
      <c r="Y183" s="128">
        <f>$X$183*$K$183</f>
        <v>0</v>
      </c>
      <c r="Z183" s="128">
        <v>0</v>
      </c>
      <c r="AA183" s="129">
        <f>$Z$183*$K$183</f>
        <v>0</v>
      </c>
      <c r="AR183" s="6" t="s">
        <v>202</v>
      </c>
      <c r="AT183" s="6" t="s">
        <v>154</v>
      </c>
      <c r="AU183" s="6" t="s">
        <v>105</v>
      </c>
      <c r="AY183" s="6" t="s">
        <v>153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přenesená",$N$183,0)</f>
        <v>0</v>
      </c>
      <c r="BH183" s="82">
        <f>IF($U$183="sníž. přenesená",$N$183,0)</f>
        <v>0</v>
      </c>
      <c r="BI183" s="82">
        <f>IF($U$183="nulová",$N$183,0)</f>
        <v>0</v>
      </c>
      <c r="BJ183" s="6" t="s">
        <v>21</v>
      </c>
      <c r="BK183" s="82">
        <f>ROUND($L$183*$K$183,2)</f>
        <v>0</v>
      </c>
      <c r="BL183" s="6" t="s">
        <v>202</v>
      </c>
    </row>
    <row r="184" spans="2:63" s="113" customFormat="1" ht="30.75" customHeight="1">
      <c r="B184" s="114"/>
      <c r="D184" s="122" t="s">
        <v>122</v>
      </c>
      <c r="N184" s="208">
        <f>$BK$184</f>
        <v>0</v>
      </c>
      <c r="O184" s="207"/>
      <c r="P184" s="207"/>
      <c r="Q184" s="207"/>
      <c r="R184" s="117"/>
      <c r="T184" s="118"/>
      <c r="W184" s="119">
        <f>SUM($W$185:$W$186)</f>
        <v>1.7148300000000003</v>
      </c>
      <c r="Y184" s="119">
        <f>SUM($Y$185:$Y$186)</f>
        <v>0.130328</v>
      </c>
      <c r="AA184" s="120">
        <f>SUM($AA$185:$AA$186)</f>
        <v>0</v>
      </c>
      <c r="AR184" s="116" t="s">
        <v>105</v>
      </c>
      <c r="AT184" s="116" t="s">
        <v>77</v>
      </c>
      <c r="AU184" s="116" t="s">
        <v>21</v>
      </c>
      <c r="AY184" s="116" t="s">
        <v>153</v>
      </c>
      <c r="BK184" s="121">
        <f>SUM($BK$185:$BK$186)</f>
        <v>0</v>
      </c>
    </row>
    <row r="185" spans="2:64" s="6" customFormat="1" ht="27" customHeight="1">
      <c r="B185" s="22"/>
      <c r="C185" s="123" t="s">
        <v>280</v>
      </c>
      <c r="D185" s="123" t="s">
        <v>154</v>
      </c>
      <c r="E185" s="124" t="s">
        <v>281</v>
      </c>
      <c r="F185" s="194" t="s">
        <v>282</v>
      </c>
      <c r="G185" s="195"/>
      <c r="H185" s="195"/>
      <c r="I185" s="195"/>
      <c r="J185" s="125" t="s">
        <v>157</v>
      </c>
      <c r="K185" s="126">
        <v>4.4</v>
      </c>
      <c r="L185" s="196">
        <v>0</v>
      </c>
      <c r="M185" s="195"/>
      <c r="N185" s="197">
        <f>ROUND($L$185*$K$185,2)</f>
        <v>0</v>
      </c>
      <c r="O185" s="195"/>
      <c r="P185" s="195"/>
      <c r="Q185" s="195"/>
      <c r="R185" s="23"/>
      <c r="T185" s="127"/>
      <c r="U185" s="29" t="s">
        <v>43</v>
      </c>
      <c r="V185" s="128">
        <v>0.338</v>
      </c>
      <c r="W185" s="128">
        <f>$V$185*$K$185</f>
        <v>1.4872000000000003</v>
      </c>
      <c r="X185" s="128">
        <v>0.02962</v>
      </c>
      <c r="Y185" s="128">
        <f>$X$185*$K$185</f>
        <v>0.130328</v>
      </c>
      <c r="Z185" s="128">
        <v>0</v>
      </c>
      <c r="AA185" s="129">
        <f>$Z$185*$K$185</f>
        <v>0</v>
      </c>
      <c r="AR185" s="6" t="s">
        <v>202</v>
      </c>
      <c r="AT185" s="6" t="s">
        <v>154</v>
      </c>
      <c r="AU185" s="6" t="s">
        <v>105</v>
      </c>
      <c r="AY185" s="6" t="s">
        <v>153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přenesená",$N$185,0)</f>
        <v>0</v>
      </c>
      <c r="BH185" s="82">
        <f>IF($U$185="sníž. přenesená",$N$185,0)</f>
        <v>0</v>
      </c>
      <c r="BI185" s="82">
        <f>IF($U$185="nulová",$N$185,0)</f>
        <v>0</v>
      </c>
      <c r="BJ185" s="6" t="s">
        <v>21</v>
      </c>
      <c r="BK185" s="82">
        <f>ROUND($L$185*$K$185,2)</f>
        <v>0</v>
      </c>
      <c r="BL185" s="6" t="s">
        <v>202</v>
      </c>
    </row>
    <row r="186" spans="2:64" s="6" customFormat="1" ht="27" customHeight="1">
      <c r="B186" s="22"/>
      <c r="C186" s="123" t="s">
        <v>283</v>
      </c>
      <c r="D186" s="123" t="s">
        <v>154</v>
      </c>
      <c r="E186" s="124" t="s">
        <v>284</v>
      </c>
      <c r="F186" s="194" t="s">
        <v>285</v>
      </c>
      <c r="G186" s="195"/>
      <c r="H186" s="195"/>
      <c r="I186" s="195"/>
      <c r="J186" s="125" t="s">
        <v>186</v>
      </c>
      <c r="K186" s="126">
        <v>0.13</v>
      </c>
      <c r="L186" s="196">
        <v>0</v>
      </c>
      <c r="M186" s="195"/>
      <c r="N186" s="197">
        <f>ROUND($L$186*$K$186,2)</f>
        <v>0</v>
      </c>
      <c r="O186" s="195"/>
      <c r="P186" s="195"/>
      <c r="Q186" s="195"/>
      <c r="R186" s="23"/>
      <c r="T186" s="127"/>
      <c r="U186" s="29" t="s">
        <v>43</v>
      </c>
      <c r="V186" s="128">
        <v>1.751</v>
      </c>
      <c r="W186" s="128">
        <f>$V$186*$K$186</f>
        <v>0.22763</v>
      </c>
      <c r="X186" s="128">
        <v>0</v>
      </c>
      <c r="Y186" s="128">
        <f>$X$186*$K$186</f>
        <v>0</v>
      </c>
      <c r="Z186" s="128">
        <v>0</v>
      </c>
      <c r="AA186" s="129">
        <f>$Z$186*$K$186</f>
        <v>0</v>
      </c>
      <c r="AR186" s="6" t="s">
        <v>202</v>
      </c>
      <c r="AT186" s="6" t="s">
        <v>154</v>
      </c>
      <c r="AU186" s="6" t="s">
        <v>105</v>
      </c>
      <c r="AY186" s="6" t="s">
        <v>153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přenesená",$N$186,0)</f>
        <v>0</v>
      </c>
      <c r="BH186" s="82">
        <f>IF($U$186="sníž. přenesená",$N$186,0)</f>
        <v>0</v>
      </c>
      <c r="BI186" s="82">
        <f>IF($U$186="nulová",$N$186,0)</f>
        <v>0</v>
      </c>
      <c r="BJ186" s="6" t="s">
        <v>21</v>
      </c>
      <c r="BK186" s="82">
        <f>ROUND($L$186*$K$186,2)</f>
        <v>0</v>
      </c>
      <c r="BL186" s="6" t="s">
        <v>202</v>
      </c>
    </row>
    <row r="187" spans="2:63" s="113" customFormat="1" ht="30.75" customHeight="1">
      <c r="B187" s="114"/>
      <c r="D187" s="122" t="s">
        <v>123</v>
      </c>
      <c r="N187" s="208">
        <f>$BK$187</f>
        <v>0</v>
      </c>
      <c r="O187" s="207"/>
      <c r="P187" s="207"/>
      <c r="Q187" s="207"/>
      <c r="R187" s="117"/>
      <c r="T187" s="118"/>
      <c r="W187" s="119">
        <f>SUM($W$188:$W$194)</f>
        <v>26.277032000000002</v>
      </c>
      <c r="Y187" s="119">
        <f>SUM($Y$188:$Y$194)</f>
        <v>0.46140651</v>
      </c>
      <c r="AA187" s="120">
        <f>SUM($AA$188:$AA$194)</f>
        <v>0</v>
      </c>
      <c r="AR187" s="116" t="s">
        <v>105</v>
      </c>
      <c r="AT187" s="116" t="s">
        <v>77</v>
      </c>
      <c r="AU187" s="116" t="s">
        <v>21</v>
      </c>
      <c r="AY187" s="116" t="s">
        <v>153</v>
      </c>
      <c r="BK187" s="121">
        <f>SUM($BK$188:$BK$194)</f>
        <v>0</v>
      </c>
    </row>
    <row r="188" spans="2:64" s="6" customFormat="1" ht="27" customHeight="1">
      <c r="B188" s="22"/>
      <c r="C188" s="123" t="s">
        <v>286</v>
      </c>
      <c r="D188" s="123" t="s">
        <v>154</v>
      </c>
      <c r="E188" s="124" t="s">
        <v>287</v>
      </c>
      <c r="F188" s="194" t="s">
        <v>288</v>
      </c>
      <c r="G188" s="195"/>
      <c r="H188" s="195"/>
      <c r="I188" s="195"/>
      <c r="J188" s="125" t="s">
        <v>157</v>
      </c>
      <c r="K188" s="126">
        <v>4.4</v>
      </c>
      <c r="L188" s="196">
        <v>0</v>
      </c>
      <c r="M188" s="195"/>
      <c r="N188" s="197">
        <f>ROUND($L$188*$K$188,2)</f>
        <v>0</v>
      </c>
      <c r="O188" s="195"/>
      <c r="P188" s="195"/>
      <c r="Q188" s="195"/>
      <c r="R188" s="23"/>
      <c r="T188" s="127"/>
      <c r="U188" s="29" t="s">
        <v>43</v>
      </c>
      <c r="V188" s="128">
        <v>0.699</v>
      </c>
      <c r="W188" s="128">
        <f>$V$188*$K$188</f>
        <v>3.0756</v>
      </c>
      <c r="X188" s="128">
        <v>0.01257</v>
      </c>
      <c r="Y188" s="128">
        <f>$X$188*$K$188</f>
        <v>0.055308</v>
      </c>
      <c r="Z188" s="128">
        <v>0</v>
      </c>
      <c r="AA188" s="129">
        <f>$Z$188*$K$188</f>
        <v>0</v>
      </c>
      <c r="AR188" s="6" t="s">
        <v>202</v>
      </c>
      <c r="AT188" s="6" t="s">
        <v>154</v>
      </c>
      <c r="AU188" s="6" t="s">
        <v>105</v>
      </c>
      <c r="AY188" s="6" t="s">
        <v>153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přenesená",$N$188,0)</f>
        <v>0</v>
      </c>
      <c r="BH188" s="82">
        <f>IF($U$188="sníž. přenesená",$N$188,0)</f>
        <v>0</v>
      </c>
      <c r="BI188" s="82">
        <f>IF($U$188="nulová",$N$188,0)</f>
        <v>0</v>
      </c>
      <c r="BJ188" s="6" t="s">
        <v>21</v>
      </c>
      <c r="BK188" s="82">
        <f>ROUND($L$188*$K$188,2)</f>
        <v>0</v>
      </c>
      <c r="BL188" s="6" t="s">
        <v>202</v>
      </c>
    </row>
    <row r="189" spans="2:64" s="6" customFormat="1" ht="27" customHeight="1">
      <c r="B189" s="22"/>
      <c r="C189" s="123" t="s">
        <v>289</v>
      </c>
      <c r="D189" s="123" t="s">
        <v>154</v>
      </c>
      <c r="E189" s="124" t="s">
        <v>290</v>
      </c>
      <c r="F189" s="194" t="s">
        <v>291</v>
      </c>
      <c r="G189" s="195"/>
      <c r="H189" s="195"/>
      <c r="I189" s="195"/>
      <c r="J189" s="125" t="s">
        <v>157</v>
      </c>
      <c r="K189" s="126">
        <v>4.4</v>
      </c>
      <c r="L189" s="196">
        <v>0</v>
      </c>
      <c r="M189" s="195"/>
      <c r="N189" s="197">
        <f>ROUND($L$189*$K$189,2)</f>
        <v>0</v>
      </c>
      <c r="O189" s="195"/>
      <c r="P189" s="195"/>
      <c r="Q189" s="195"/>
      <c r="R189" s="23"/>
      <c r="T189" s="127"/>
      <c r="U189" s="29" t="s">
        <v>43</v>
      </c>
      <c r="V189" s="128">
        <v>0.032</v>
      </c>
      <c r="W189" s="128">
        <f>$V$189*$K$189</f>
        <v>0.1408</v>
      </c>
      <c r="X189" s="128">
        <v>0.0001</v>
      </c>
      <c r="Y189" s="128">
        <f>$X$189*$K$189</f>
        <v>0.00044000000000000007</v>
      </c>
      <c r="Z189" s="128">
        <v>0</v>
      </c>
      <c r="AA189" s="129">
        <f>$Z$189*$K$189</f>
        <v>0</v>
      </c>
      <c r="AR189" s="6" t="s">
        <v>202</v>
      </c>
      <c r="AT189" s="6" t="s">
        <v>154</v>
      </c>
      <c r="AU189" s="6" t="s">
        <v>105</v>
      </c>
      <c r="AY189" s="6" t="s">
        <v>153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přenesená",$N$189,0)</f>
        <v>0</v>
      </c>
      <c r="BH189" s="82">
        <f>IF($U$189="sníž. přenesená",$N$189,0)</f>
        <v>0</v>
      </c>
      <c r="BI189" s="82">
        <f>IF($U$189="nulová",$N$189,0)</f>
        <v>0</v>
      </c>
      <c r="BJ189" s="6" t="s">
        <v>21</v>
      </c>
      <c r="BK189" s="82">
        <f>ROUND($L$189*$K$189,2)</f>
        <v>0</v>
      </c>
      <c r="BL189" s="6" t="s">
        <v>202</v>
      </c>
    </row>
    <row r="190" spans="2:64" s="6" customFormat="1" ht="27" customHeight="1">
      <c r="B190" s="22"/>
      <c r="C190" s="123" t="s">
        <v>292</v>
      </c>
      <c r="D190" s="123" t="s">
        <v>154</v>
      </c>
      <c r="E190" s="124" t="s">
        <v>293</v>
      </c>
      <c r="F190" s="194" t="s">
        <v>294</v>
      </c>
      <c r="G190" s="195"/>
      <c r="H190" s="195"/>
      <c r="I190" s="195"/>
      <c r="J190" s="125" t="s">
        <v>171</v>
      </c>
      <c r="K190" s="126">
        <v>6.7</v>
      </c>
      <c r="L190" s="196">
        <v>0</v>
      </c>
      <c r="M190" s="195"/>
      <c r="N190" s="197">
        <f>ROUND($L$190*$K$190,2)</f>
        <v>0</v>
      </c>
      <c r="O190" s="195"/>
      <c r="P190" s="195"/>
      <c r="Q190" s="195"/>
      <c r="R190" s="23"/>
      <c r="T190" s="127"/>
      <c r="U190" s="29" t="s">
        <v>43</v>
      </c>
      <c r="V190" s="128">
        <v>0.055</v>
      </c>
      <c r="W190" s="128">
        <f>$V$190*$K$190</f>
        <v>0.3685</v>
      </c>
      <c r="X190" s="128">
        <v>4E-05</v>
      </c>
      <c r="Y190" s="128">
        <f>$X$190*$K$190</f>
        <v>0.000268</v>
      </c>
      <c r="Z190" s="128">
        <v>0</v>
      </c>
      <c r="AA190" s="129">
        <f>$Z$190*$K$190</f>
        <v>0</v>
      </c>
      <c r="AR190" s="6" t="s">
        <v>202</v>
      </c>
      <c r="AT190" s="6" t="s">
        <v>154</v>
      </c>
      <c r="AU190" s="6" t="s">
        <v>105</v>
      </c>
      <c r="AY190" s="6" t="s">
        <v>153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přenesená",$N$190,0)</f>
        <v>0</v>
      </c>
      <c r="BH190" s="82">
        <f>IF($U$190="sníž. přenesená",$N$190,0)</f>
        <v>0</v>
      </c>
      <c r="BI190" s="82">
        <f>IF($U$190="nulová",$N$190,0)</f>
        <v>0</v>
      </c>
      <c r="BJ190" s="6" t="s">
        <v>21</v>
      </c>
      <c r="BK190" s="82">
        <f>ROUND($L$190*$K$190,2)</f>
        <v>0</v>
      </c>
      <c r="BL190" s="6" t="s">
        <v>202</v>
      </c>
    </row>
    <row r="191" spans="2:51" s="6" customFormat="1" ht="15.75" customHeight="1">
      <c r="B191" s="130"/>
      <c r="E191" s="131"/>
      <c r="F191" s="198" t="s">
        <v>295</v>
      </c>
      <c r="G191" s="199"/>
      <c r="H191" s="199"/>
      <c r="I191" s="199"/>
      <c r="K191" s="132">
        <v>6.7</v>
      </c>
      <c r="R191" s="133"/>
      <c r="T191" s="134"/>
      <c r="AA191" s="135"/>
      <c r="AT191" s="131" t="s">
        <v>160</v>
      </c>
      <c r="AU191" s="131" t="s">
        <v>105</v>
      </c>
      <c r="AV191" s="131" t="s">
        <v>105</v>
      </c>
      <c r="AW191" s="131" t="s">
        <v>113</v>
      </c>
      <c r="AX191" s="131" t="s">
        <v>21</v>
      </c>
      <c r="AY191" s="131" t="s">
        <v>153</v>
      </c>
    </row>
    <row r="192" spans="2:64" s="6" customFormat="1" ht="39" customHeight="1">
      <c r="B192" s="22"/>
      <c r="C192" s="123" t="s">
        <v>296</v>
      </c>
      <c r="D192" s="123" t="s">
        <v>154</v>
      </c>
      <c r="E192" s="124" t="s">
        <v>297</v>
      </c>
      <c r="F192" s="194" t="s">
        <v>298</v>
      </c>
      <c r="G192" s="195"/>
      <c r="H192" s="195"/>
      <c r="I192" s="195"/>
      <c r="J192" s="125" t="s">
        <v>157</v>
      </c>
      <c r="K192" s="126">
        <v>41.409</v>
      </c>
      <c r="L192" s="196">
        <v>0</v>
      </c>
      <c r="M192" s="195"/>
      <c r="N192" s="197">
        <f>ROUND($L$192*$K$192,2)</f>
        <v>0</v>
      </c>
      <c r="O192" s="195"/>
      <c r="P192" s="195"/>
      <c r="Q192" s="195"/>
      <c r="R192" s="23"/>
      <c r="T192" s="127"/>
      <c r="U192" s="29" t="s">
        <v>43</v>
      </c>
      <c r="V192" s="128">
        <v>0.548</v>
      </c>
      <c r="W192" s="128">
        <f>$V$192*$K$192</f>
        <v>22.692132</v>
      </c>
      <c r="X192" s="128">
        <v>0.00139</v>
      </c>
      <c r="Y192" s="128">
        <f>$X$192*$K$192</f>
        <v>0.05755851</v>
      </c>
      <c r="Z192" s="128">
        <v>0</v>
      </c>
      <c r="AA192" s="129">
        <f>$Z$192*$K$192</f>
        <v>0</v>
      </c>
      <c r="AR192" s="6" t="s">
        <v>202</v>
      </c>
      <c r="AT192" s="6" t="s">
        <v>154</v>
      </c>
      <c r="AU192" s="6" t="s">
        <v>105</v>
      </c>
      <c r="AY192" s="6" t="s">
        <v>153</v>
      </c>
      <c r="BE192" s="82">
        <f>IF($U$192="základní",$N$192,0)</f>
        <v>0</v>
      </c>
      <c r="BF192" s="82">
        <f>IF($U$192="snížená",$N$192,0)</f>
        <v>0</v>
      </c>
      <c r="BG192" s="82">
        <f>IF($U$192="zákl. přenesená",$N$192,0)</f>
        <v>0</v>
      </c>
      <c r="BH192" s="82">
        <f>IF($U$192="sníž. přenesená",$N$192,0)</f>
        <v>0</v>
      </c>
      <c r="BI192" s="82">
        <f>IF($U$192="nulová",$N$192,0)</f>
        <v>0</v>
      </c>
      <c r="BJ192" s="6" t="s">
        <v>21</v>
      </c>
      <c r="BK192" s="82">
        <f>ROUND($L$192*$K$192,2)</f>
        <v>0</v>
      </c>
      <c r="BL192" s="6" t="s">
        <v>202</v>
      </c>
    </row>
    <row r="193" spans="2:64" s="6" customFormat="1" ht="15.75" customHeight="1">
      <c r="B193" s="22"/>
      <c r="C193" s="136" t="s">
        <v>299</v>
      </c>
      <c r="D193" s="136" t="s">
        <v>204</v>
      </c>
      <c r="E193" s="137" t="s">
        <v>300</v>
      </c>
      <c r="F193" s="200" t="s">
        <v>301</v>
      </c>
      <c r="G193" s="201"/>
      <c r="H193" s="201"/>
      <c r="I193" s="201"/>
      <c r="J193" s="138" t="s">
        <v>157</v>
      </c>
      <c r="K193" s="139">
        <v>43.479</v>
      </c>
      <c r="L193" s="202">
        <v>0</v>
      </c>
      <c r="M193" s="201"/>
      <c r="N193" s="203">
        <f>ROUND($L$193*$K$193,2)</f>
        <v>0</v>
      </c>
      <c r="O193" s="195"/>
      <c r="P193" s="195"/>
      <c r="Q193" s="195"/>
      <c r="R193" s="23"/>
      <c r="T193" s="127"/>
      <c r="U193" s="29" t="s">
        <v>43</v>
      </c>
      <c r="V193" s="128">
        <v>0</v>
      </c>
      <c r="W193" s="128">
        <f>$V$193*$K$193</f>
        <v>0</v>
      </c>
      <c r="X193" s="128">
        <v>0.008</v>
      </c>
      <c r="Y193" s="128">
        <f>$X$193*$K$193</f>
        <v>0.347832</v>
      </c>
      <c r="Z193" s="128">
        <v>0</v>
      </c>
      <c r="AA193" s="129">
        <f>$Z$193*$K$193</f>
        <v>0</v>
      </c>
      <c r="AR193" s="6" t="s">
        <v>207</v>
      </c>
      <c r="AT193" s="6" t="s">
        <v>204</v>
      </c>
      <c r="AU193" s="6" t="s">
        <v>105</v>
      </c>
      <c r="AY193" s="6" t="s">
        <v>153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přenesená",$N$193,0)</f>
        <v>0</v>
      </c>
      <c r="BH193" s="82">
        <f>IF($U$193="sníž. přenesená",$N$193,0)</f>
        <v>0</v>
      </c>
      <c r="BI193" s="82">
        <f>IF($U$193="nulová",$N$193,0)</f>
        <v>0</v>
      </c>
      <c r="BJ193" s="6" t="s">
        <v>21</v>
      </c>
      <c r="BK193" s="82">
        <f>ROUND($L$193*$K$193,2)</f>
        <v>0</v>
      </c>
      <c r="BL193" s="6" t="s">
        <v>202</v>
      </c>
    </row>
    <row r="194" spans="2:64" s="6" customFormat="1" ht="27" customHeight="1">
      <c r="B194" s="22"/>
      <c r="C194" s="123" t="s">
        <v>302</v>
      </c>
      <c r="D194" s="123" t="s">
        <v>154</v>
      </c>
      <c r="E194" s="124" t="s">
        <v>303</v>
      </c>
      <c r="F194" s="194" t="s">
        <v>304</v>
      </c>
      <c r="G194" s="195"/>
      <c r="H194" s="195"/>
      <c r="I194" s="195"/>
      <c r="J194" s="125" t="s">
        <v>305</v>
      </c>
      <c r="K194" s="140">
        <v>0</v>
      </c>
      <c r="L194" s="196">
        <v>0</v>
      </c>
      <c r="M194" s="195"/>
      <c r="N194" s="197">
        <f>ROUND($L$194*$K$194,2)</f>
        <v>0</v>
      </c>
      <c r="O194" s="195"/>
      <c r="P194" s="195"/>
      <c r="Q194" s="195"/>
      <c r="R194" s="23"/>
      <c r="T194" s="127"/>
      <c r="U194" s="29" t="s">
        <v>43</v>
      </c>
      <c r="V194" s="128">
        <v>0</v>
      </c>
      <c r="W194" s="128">
        <f>$V$194*$K$194</f>
        <v>0</v>
      </c>
      <c r="X194" s="128">
        <v>0</v>
      </c>
      <c r="Y194" s="128">
        <f>$X$194*$K$194</f>
        <v>0</v>
      </c>
      <c r="Z194" s="128">
        <v>0</v>
      </c>
      <c r="AA194" s="129">
        <f>$Z$194*$K$194</f>
        <v>0</v>
      </c>
      <c r="AR194" s="6" t="s">
        <v>202</v>
      </c>
      <c r="AT194" s="6" t="s">
        <v>154</v>
      </c>
      <c r="AU194" s="6" t="s">
        <v>105</v>
      </c>
      <c r="AY194" s="6" t="s">
        <v>153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přenesená",$N$194,0)</f>
        <v>0</v>
      </c>
      <c r="BH194" s="82">
        <f>IF($U$194="sníž. přenesená",$N$194,0)</f>
        <v>0</v>
      </c>
      <c r="BI194" s="82">
        <f>IF($U$194="nulová",$N$194,0)</f>
        <v>0</v>
      </c>
      <c r="BJ194" s="6" t="s">
        <v>21</v>
      </c>
      <c r="BK194" s="82">
        <f>ROUND($L$194*$K$194,2)</f>
        <v>0</v>
      </c>
      <c r="BL194" s="6" t="s">
        <v>202</v>
      </c>
    </row>
    <row r="195" spans="2:63" s="113" customFormat="1" ht="30.75" customHeight="1">
      <c r="B195" s="114"/>
      <c r="D195" s="122" t="s">
        <v>124</v>
      </c>
      <c r="N195" s="208">
        <f>$BK$195</f>
        <v>0</v>
      </c>
      <c r="O195" s="207"/>
      <c r="P195" s="207"/>
      <c r="Q195" s="207"/>
      <c r="R195" s="117"/>
      <c r="T195" s="118"/>
      <c r="W195" s="119">
        <f>SUM($W$196:$W$201)</f>
        <v>41.46962</v>
      </c>
      <c r="Y195" s="119">
        <f>SUM($Y$196:$Y$201)</f>
        <v>0.009836000000000001</v>
      </c>
      <c r="AA195" s="120">
        <f>SUM($AA$196:$AA$201)</f>
        <v>0</v>
      </c>
      <c r="AR195" s="116" t="s">
        <v>105</v>
      </c>
      <c r="AT195" s="116" t="s">
        <v>77</v>
      </c>
      <c r="AU195" s="116" t="s">
        <v>21</v>
      </c>
      <c r="AY195" s="116" t="s">
        <v>153</v>
      </c>
      <c r="BK195" s="121">
        <f>SUM($BK$196:$BK$201)</f>
        <v>0</v>
      </c>
    </row>
    <row r="196" spans="2:64" s="6" customFormat="1" ht="15.75" customHeight="1">
      <c r="B196" s="22"/>
      <c r="C196" s="123" t="s">
        <v>306</v>
      </c>
      <c r="D196" s="123" t="s">
        <v>154</v>
      </c>
      <c r="E196" s="124" t="s">
        <v>307</v>
      </c>
      <c r="F196" s="194" t="s">
        <v>308</v>
      </c>
      <c r="G196" s="195"/>
      <c r="H196" s="195"/>
      <c r="I196" s="195"/>
      <c r="J196" s="125" t="s">
        <v>225</v>
      </c>
      <c r="K196" s="126">
        <v>1</v>
      </c>
      <c r="L196" s="196">
        <v>0</v>
      </c>
      <c r="M196" s="195"/>
      <c r="N196" s="197">
        <f>ROUND($L$196*$K$196,2)</f>
        <v>0</v>
      </c>
      <c r="O196" s="195"/>
      <c r="P196" s="195"/>
      <c r="Q196" s="195"/>
      <c r="R196" s="23"/>
      <c r="T196" s="127"/>
      <c r="U196" s="29" t="s">
        <v>43</v>
      </c>
      <c r="V196" s="128">
        <v>1.432</v>
      </c>
      <c r="W196" s="128">
        <f>$V$196*$K$196</f>
        <v>1.432</v>
      </c>
      <c r="X196" s="128">
        <v>0.00025</v>
      </c>
      <c r="Y196" s="128">
        <f>$X$196*$K$196</f>
        <v>0.00025</v>
      </c>
      <c r="Z196" s="128">
        <v>0</v>
      </c>
      <c r="AA196" s="129">
        <f>$Z$196*$K$196</f>
        <v>0</v>
      </c>
      <c r="AR196" s="6" t="s">
        <v>202</v>
      </c>
      <c r="AT196" s="6" t="s">
        <v>154</v>
      </c>
      <c r="AU196" s="6" t="s">
        <v>105</v>
      </c>
      <c r="AY196" s="6" t="s">
        <v>153</v>
      </c>
      <c r="BE196" s="82">
        <f>IF($U$196="základní",$N$196,0)</f>
        <v>0</v>
      </c>
      <c r="BF196" s="82">
        <f>IF($U$196="snížená",$N$196,0)</f>
        <v>0</v>
      </c>
      <c r="BG196" s="82">
        <f>IF($U$196="zákl. přenesená",$N$196,0)</f>
        <v>0</v>
      </c>
      <c r="BH196" s="82">
        <f>IF($U$196="sníž. přenesená",$N$196,0)</f>
        <v>0</v>
      </c>
      <c r="BI196" s="82">
        <f>IF($U$196="nulová",$N$196,0)</f>
        <v>0</v>
      </c>
      <c r="BJ196" s="6" t="s">
        <v>21</v>
      </c>
      <c r="BK196" s="82">
        <f>ROUND($L$196*$K$196,2)</f>
        <v>0</v>
      </c>
      <c r="BL196" s="6" t="s">
        <v>202</v>
      </c>
    </row>
    <row r="197" spans="2:64" s="6" customFormat="1" ht="27" customHeight="1">
      <c r="B197" s="22"/>
      <c r="C197" s="123" t="s">
        <v>309</v>
      </c>
      <c r="D197" s="123" t="s">
        <v>154</v>
      </c>
      <c r="E197" s="124" t="s">
        <v>310</v>
      </c>
      <c r="F197" s="194" t="s">
        <v>311</v>
      </c>
      <c r="G197" s="195"/>
      <c r="H197" s="195"/>
      <c r="I197" s="195"/>
      <c r="J197" s="125" t="s">
        <v>225</v>
      </c>
      <c r="K197" s="126">
        <v>1</v>
      </c>
      <c r="L197" s="196">
        <v>0</v>
      </c>
      <c r="M197" s="195"/>
      <c r="N197" s="197">
        <f>ROUND($L$197*$K$197,2)</f>
        <v>0</v>
      </c>
      <c r="O197" s="195"/>
      <c r="P197" s="195"/>
      <c r="Q197" s="195"/>
      <c r="R197" s="23"/>
      <c r="T197" s="127"/>
      <c r="U197" s="29" t="s">
        <v>43</v>
      </c>
      <c r="V197" s="128">
        <v>1.432</v>
      </c>
      <c r="W197" s="128">
        <f>$V$197*$K$197</f>
        <v>1.432</v>
      </c>
      <c r="X197" s="128">
        <v>0.00025</v>
      </c>
      <c r="Y197" s="128">
        <f>$X$197*$K$197</f>
        <v>0.00025</v>
      </c>
      <c r="Z197" s="128">
        <v>0</v>
      </c>
      <c r="AA197" s="129">
        <f>$Z$197*$K$197</f>
        <v>0</v>
      </c>
      <c r="AR197" s="6" t="s">
        <v>202</v>
      </c>
      <c r="AT197" s="6" t="s">
        <v>154</v>
      </c>
      <c r="AU197" s="6" t="s">
        <v>105</v>
      </c>
      <c r="AY197" s="6" t="s">
        <v>153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přenesená",$N$197,0)</f>
        <v>0</v>
      </c>
      <c r="BH197" s="82">
        <f>IF($U$197="sníž. přenesená",$N$197,0)</f>
        <v>0</v>
      </c>
      <c r="BI197" s="82">
        <f>IF($U$197="nulová",$N$197,0)</f>
        <v>0</v>
      </c>
      <c r="BJ197" s="6" t="s">
        <v>21</v>
      </c>
      <c r="BK197" s="82">
        <f>ROUND($L$197*$K$197,2)</f>
        <v>0</v>
      </c>
      <c r="BL197" s="6" t="s">
        <v>202</v>
      </c>
    </row>
    <row r="198" spans="2:64" s="6" customFormat="1" ht="39" customHeight="1">
      <c r="B198" s="22"/>
      <c r="C198" s="123" t="s">
        <v>312</v>
      </c>
      <c r="D198" s="123" t="s">
        <v>154</v>
      </c>
      <c r="E198" s="124" t="s">
        <v>313</v>
      </c>
      <c r="F198" s="194" t="s">
        <v>314</v>
      </c>
      <c r="G198" s="195"/>
      <c r="H198" s="195"/>
      <c r="I198" s="195"/>
      <c r="J198" s="125" t="s">
        <v>225</v>
      </c>
      <c r="K198" s="126">
        <v>2</v>
      </c>
      <c r="L198" s="196">
        <v>0</v>
      </c>
      <c r="M198" s="195"/>
      <c r="N198" s="197">
        <f>ROUND($L$198*$K$198,2)</f>
        <v>0</v>
      </c>
      <c r="O198" s="195"/>
      <c r="P198" s="195"/>
      <c r="Q198" s="195"/>
      <c r="R198" s="23"/>
      <c r="T198" s="127"/>
      <c r="U198" s="29" t="s">
        <v>43</v>
      </c>
      <c r="V198" s="128">
        <v>1.432</v>
      </c>
      <c r="W198" s="128">
        <f>$V$198*$K$198</f>
        <v>2.864</v>
      </c>
      <c r="X198" s="128">
        <v>0.00025</v>
      </c>
      <c r="Y198" s="128">
        <f>$X$198*$K$198</f>
        <v>0.0005</v>
      </c>
      <c r="Z198" s="128">
        <v>0</v>
      </c>
      <c r="AA198" s="129">
        <f>$Z$198*$K$198</f>
        <v>0</v>
      </c>
      <c r="AR198" s="6" t="s">
        <v>202</v>
      </c>
      <c r="AT198" s="6" t="s">
        <v>154</v>
      </c>
      <c r="AU198" s="6" t="s">
        <v>105</v>
      </c>
      <c r="AY198" s="6" t="s">
        <v>153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přenesená",$N$198,0)</f>
        <v>0</v>
      </c>
      <c r="BH198" s="82">
        <f>IF($U$198="sníž. přenesená",$N$198,0)</f>
        <v>0</v>
      </c>
      <c r="BI198" s="82">
        <f>IF($U$198="nulová",$N$198,0)</f>
        <v>0</v>
      </c>
      <c r="BJ198" s="6" t="s">
        <v>21</v>
      </c>
      <c r="BK198" s="82">
        <f>ROUND($L$198*$K$198,2)</f>
        <v>0</v>
      </c>
      <c r="BL198" s="6" t="s">
        <v>202</v>
      </c>
    </row>
    <row r="199" spans="2:64" s="6" customFormat="1" ht="27" customHeight="1">
      <c r="B199" s="22"/>
      <c r="C199" s="123" t="s">
        <v>315</v>
      </c>
      <c r="D199" s="123" t="s">
        <v>154</v>
      </c>
      <c r="E199" s="124" t="s">
        <v>316</v>
      </c>
      <c r="F199" s="194" t="s">
        <v>317</v>
      </c>
      <c r="G199" s="195"/>
      <c r="H199" s="195"/>
      <c r="I199" s="195"/>
      <c r="J199" s="125" t="s">
        <v>171</v>
      </c>
      <c r="K199" s="126">
        <v>22.09</v>
      </c>
      <c r="L199" s="196">
        <v>0</v>
      </c>
      <c r="M199" s="195"/>
      <c r="N199" s="197">
        <f>ROUND($L$199*$K$199,2)</f>
        <v>0</v>
      </c>
      <c r="O199" s="195"/>
      <c r="P199" s="195"/>
      <c r="Q199" s="195"/>
      <c r="R199" s="23"/>
      <c r="T199" s="127"/>
      <c r="U199" s="29" t="s">
        <v>43</v>
      </c>
      <c r="V199" s="128">
        <v>1.432</v>
      </c>
      <c r="W199" s="128">
        <f>$V$199*$K$199</f>
        <v>31.63288</v>
      </c>
      <c r="X199" s="128">
        <v>0.00025</v>
      </c>
      <c r="Y199" s="128">
        <f>$X$199*$K$199</f>
        <v>0.0055225000000000005</v>
      </c>
      <c r="Z199" s="128">
        <v>0</v>
      </c>
      <c r="AA199" s="129">
        <f>$Z$199*$K$199</f>
        <v>0</v>
      </c>
      <c r="AR199" s="6" t="s">
        <v>202</v>
      </c>
      <c r="AT199" s="6" t="s">
        <v>154</v>
      </c>
      <c r="AU199" s="6" t="s">
        <v>105</v>
      </c>
      <c r="AY199" s="6" t="s">
        <v>153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přenesená",$N$199,0)</f>
        <v>0</v>
      </c>
      <c r="BH199" s="82">
        <f>IF($U$199="sníž. přenesená",$N$199,0)</f>
        <v>0</v>
      </c>
      <c r="BI199" s="82">
        <f>IF($U$199="nulová",$N$199,0)</f>
        <v>0</v>
      </c>
      <c r="BJ199" s="6" t="s">
        <v>21</v>
      </c>
      <c r="BK199" s="82">
        <f>ROUND($L$199*$K$199,2)</f>
        <v>0</v>
      </c>
      <c r="BL199" s="6" t="s">
        <v>202</v>
      </c>
    </row>
    <row r="200" spans="2:64" s="6" customFormat="1" ht="15.75" customHeight="1">
      <c r="B200" s="22"/>
      <c r="C200" s="123" t="s">
        <v>318</v>
      </c>
      <c r="D200" s="123" t="s">
        <v>154</v>
      </c>
      <c r="E200" s="124" t="s">
        <v>319</v>
      </c>
      <c r="F200" s="194" t="s">
        <v>320</v>
      </c>
      <c r="G200" s="195"/>
      <c r="H200" s="195"/>
      <c r="I200" s="195"/>
      <c r="J200" s="125" t="s">
        <v>171</v>
      </c>
      <c r="K200" s="126">
        <v>22.09</v>
      </c>
      <c r="L200" s="196">
        <v>0</v>
      </c>
      <c r="M200" s="195"/>
      <c r="N200" s="197">
        <f>ROUND($L$200*$K$200,2)</f>
        <v>0</v>
      </c>
      <c r="O200" s="195"/>
      <c r="P200" s="195"/>
      <c r="Q200" s="195"/>
      <c r="R200" s="23"/>
      <c r="T200" s="127"/>
      <c r="U200" s="29" t="s">
        <v>43</v>
      </c>
      <c r="V200" s="128">
        <v>0.186</v>
      </c>
      <c r="W200" s="128">
        <f>$V$200*$K$200</f>
        <v>4.10874</v>
      </c>
      <c r="X200" s="128">
        <v>0.00015</v>
      </c>
      <c r="Y200" s="128">
        <f>$X$200*$K$200</f>
        <v>0.0033134999999999996</v>
      </c>
      <c r="Z200" s="128">
        <v>0</v>
      </c>
      <c r="AA200" s="129">
        <f>$Z$200*$K$200</f>
        <v>0</v>
      </c>
      <c r="AR200" s="6" t="s">
        <v>202</v>
      </c>
      <c r="AT200" s="6" t="s">
        <v>154</v>
      </c>
      <c r="AU200" s="6" t="s">
        <v>105</v>
      </c>
      <c r="AY200" s="6" t="s">
        <v>153</v>
      </c>
      <c r="BE200" s="82">
        <f>IF($U$200="základní",$N$200,0)</f>
        <v>0</v>
      </c>
      <c r="BF200" s="82">
        <f>IF($U$200="snížená",$N$200,0)</f>
        <v>0</v>
      </c>
      <c r="BG200" s="82">
        <f>IF($U$200="zákl. přenesená",$N$200,0)</f>
        <v>0</v>
      </c>
      <c r="BH200" s="82">
        <f>IF($U$200="sníž. přenesená",$N$200,0)</f>
        <v>0</v>
      </c>
      <c r="BI200" s="82">
        <f>IF($U$200="nulová",$N$200,0)</f>
        <v>0</v>
      </c>
      <c r="BJ200" s="6" t="s">
        <v>21</v>
      </c>
      <c r="BK200" s="82">
        <f>ROUND($L$200*$K$200,2)</f>
        <v>0</v>
      </c>
      <c r="BL200" s="6" t="s">
        <v>202</v>
      </c>
    </row>
    <row r="201" spans="2:64" s="6" customFormat="1" ht="27" customHeight="1">
      <c r="B201" s="22"/>
      <c r="C201" s="123" t="s">
        <v>321</v>
      </c>
      <c r="D201" s="123" t="s">
        <v>154</v>
      </c>
      <c r="E201" s="124" t="s">
        <v>322</v>
      </c>
      <c r="F201" s="194" t="s">
        <v>323</v>
      </c>
      <c r="G201" s="195"/>
      <c r="H201" s="195"/>
      <c r="I201" s="195"/>
      <c r="J201" s="125" t="s">
        <v>305</v>
      </c>
      <c r="K201" s="140">
        <v>0</v>
      </c>
      <c r="L201" s="196">
        <v>0</v>
      </c>
      <c r="M201" s="195"/>
      <c r="N201" s="197">
        <f>ROUND($L$201*$K$201,2)</f>
        <v>0</v>
      </c>
      <c r="O201" s="195"/>
      <c r="P201" s="195"/>
      <c r="Q201" s="195"/>
      <c r="R201" s="23"/>
      <c r="T201" s="127"/>
      <c r="U201" s="29" t="s">
        <v>43</v>
      </c>
      <c r="V201" s="128">
        <v>0</v>
      </c>
      <c r="W201" s="128">
        <f>$V$201*$K$201</f>
        <v>0</v>
      </c>
      <c r="X201" s="128">
        <v>0</v>
      </c>
      <c r="Y201" s="128">
        <f>$X$201*$K$201</f>
        <v>0</v>
      </c>
      <c r="Z201" s="128">
        <v>0</v>
      </c>
      <c r="AA201" s="129">
        <f>$Z$201*$K$201</f>
        <v>0</v>
      </c>
      <c r="AR201" s="6" t="s">
        <v>202</v>
      </c>
      <c r="AT201" s="6" t="s">
        <v>154</v>
      </c>
      <c r="AU201" s="6" t="s">
        <v>105</v>
      </c>
      <c r="AY201" s="6" t="s">
        <v>153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přenesená",$N$201,0)</f>
        <v>0</v>
      </c>
      <c r="BH201" s="82">
        <f>IF($U$201="sníž. přenesená",$N$201,0)</f>
        <v>0</v>
      </c>
      <c r="BI201" s="82">
        <f>IF($U$201="nulová",$N$201,0)</f>
        <v>0</v>
      </c>
      <c r="BJ201" s="6" t="s">
        <v>21</v>
      </c>
      <c r="BK201" s="82">
        <f>ROUND($L$201*$K$201,2)</f>
        <v>0</v>
      </c>
      <c r="BL201" s="6" t="s">
        <v>202</v>
      </c>
    </row>
    <row r="202" spans="2:63" s="113" customFormat="1" ht="30.75" customHeight="1">
      <c r="B202" s="114"/>
      <c r="D202" s="122" t="s">
        <v>125</v>
      </c>
      <c r="N202" s="208">
        <f>$BK$202</f>
        <v>0</v>
      </c>
      <c r="O202" s="207"/>
      <c r="P202" s="207"/>
      <c r="Q202" s="207"/>
      <c r="R202" s="117"/>
      <c r="T202" s="118"/>
      <c r="W202" s="119">
        <f>SUM($W$203:$W$213)</f>
        <v>40.285849999999996</v>
      </c>
      <c r="Y202" s="119">
        <f>SUM($Y$203:$Y$213)</f>
        <v>0.0024000000000000002</v>
      </c>
      <c r="AA202" s="120">
        <f>SUM($AA$203:$AA$213)</f>
        <v>0.565914</v>
      </c>
      <c r="AR202" s="116" t="s">
        <v>105</v>
      </c>
      <c r="AT202" s="116" t="s">
        <v>77</v>
      </c>
      <c r="AU202" s="116" t="s">
        <v>21</v>
      </c>
      <c r="AY202" s="116" t="s">
        <v>153</v>
      </c>
      <c r="BK202" s="121">
        <f>SUM($BK$203:$BK$213)</f>
        <v>0</v>
      </c>
    </row>
    <row r="203" spans="2:64" s="6" customFormat="1" ht="27" customHeight="1">
      <c r="B203" s="22"/>
      <c r="C203" s="123" t="s">
        <v>324</v>
      </c>
      <c r="D203" s="123" t="s">
        <v>154</v>
      </c>
      <c r="E203" s="124" t="s">
        <v>325</v>
      </c>
      <c r="F203" s="194" t="s">
        <v>326</v>
      </c>
      <c r="G203" s="195"/>
      <c r="H203" s="195"/>
      <c r="I203" s="195"/>
      <c r="J203" s="125" t="s">
        <v>225</v>
      </c>
      <c r="K203" s="126">
        <v>1</v>
      </c>
      <c r="L203" s="196">
        <v>0</v>
      </c>
      <c r="M203" s="195"/>
      <c r="N203" s="197">
        <f>ROUND($L$203*$K$203,2)</f>
        <v>0</v>
      </c>
      <c r="O203" s="195"/>
      <c r="P203" s="195"/>
      <c r="Q203" s="195"/>
      <c r="R203" s="23"/>
      <c r="T203" s="127"/>
      <c r="U203" s="29" t="s">
        <v>43</v>
      </c>
      <c r="V203" s="128">
        <v>0.485</v>
      </c>
      <c r="W203" s="128">
        <f>$V$203*$K$203</f>
        <v>0.485</v>
      </c>
      <c r="X203" s="128">
        <v>0</v>
      </c>
      <c r="Y203" s="128">
        <f>$X$203*$K$203</f>
        <v>0</v>
      </c>
      <c r="Z203" s="128">
        <v>0</v>
      </c>
      <c r="AA203" s="129">
        <f>$Z$203*$K$203</f>
        <v>0</v>
      </c>
      <c r="AR203" s="6" t="s">
        <v>202</v>
      </c>
      <c r="AT203" s="6" t="s">
        <v>154</v>
      </c>
      <c r="AU203" s="6" t="s">
        <v>105</v>
      </c>
      <c r="AY203" s="6" t="s">
        <v>153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přenesená",$N$203,0)</f>
        <v>0</v>
      </c>
      <c r="BH203" s="82">
        <f>IF($U$203="sníž. přenesená",$N$203,0)</f>
        <v>0</v>
      </c>
      <c r="BI203" s="82">
        <f>IF($U$203="nulová",$N$203,0)</f>
        <v>0</v>
      </c>
      <c r="BJ203" s="6" t="s">
        <v>21</v>
      </c>
      <c r="BK203" s="82">
        <f>ROUND($L$203*$K$203,2)</f>
        <v>0</v>
      </c>
      <c r="BL203" s="6" t="s">
        <v>202</v>
      </c>
    </row>
    <row r="204" spans="2:64" s="6" customFormat="1" ht="15.75" customHeight="1">
      <c r="B204" s="22"/>
      <c r="C204" s="123" t="s">
        <v>327</v>
      </c>
      <c r="D204" s="123" t="s">
        <v>154</v>
      </c>
      <c r="E204" s="124" t="s">
        <v>328</v>
      </c>
      <c r="F204" s="194" t="s">
        <v>329</v>
      </c>
      <c r="G204" s="195"/>
      <c r="H204" s="195"/>
      <c r="I204" s="195"/>
      <c r="J204" s="125" t="s">
        <v>157</v>
      </c>
      <c r="K204" s="126">
        <v>36.759</v>
      </c>
      <c r="L204" s="196">
        <v>0</v>
      </c>
      <c r="M204" s="195"/>
      <c r="N204" s="197">
        <f>ROUND($L$204*$K$204,2)</f>
        <v>0</v>
      </c>
      <c r="O204" s="195"/>
      <c r="P204" s="195"/>
      <c r="Q204" s="195"/>
      <c r="R204" s="23"/>
      <c r="T204" s="127"/>
      <c r="U204" s="29" t="s">
        <v>43</v>
      </c>
      <c r="V204" s="128">
        <v>0.41</v>
      </c>
      <c r="W204" s="128">
        <f>$V$204*$K$204</f>
        <v>15.07119</v>
      </c>
      <c r="X204" s="128">
        <v>0</v>
      </c>
      <c r="Y204" s="128">
        <f>$X$204*$K$204</f>
        <v>0</v>
      </c>
      <c r="Z204" s="128">
        <v>0.004</v>
      </c>
      <c r="AA204" s="129">
        <f>$Z$204*$K$204</f>
        <v>0.147036</v>
      </c>
      <c r="AR204" s="6" t="s">
        <v>202</v>
      </c>
      <c r="AT204" s="6" t="s">
        <v>154</v>
      </c>
      <c r="AU204" s="6" t="s">
        <v>105</v>
      </c>
      <c r="AY204" s="6" t="s">
        <v>153</v>
      </c>
      <c r="BE204" s="82">
        <f>IF($U$204="základní",$N$204,0)</f>
        <v>0</v>
      </c>
      <c r="BF204" s="82">
        <f>IF($U$204="snížená",$N$204,0)</f>
        <v>0</v>
      </c>
      <c r="BG204" s="82">
        <f>IF($U$204="zákl. přenesená",$N$204,0)</f>
        <v>0</v>
      </c>
      <c r="BH204" s="82">
        <f>IF($U$204="sníž. přenesená",$N$204,0)</f>
        <v>0</v>
      </c>
      <c r="BI204" s="82">
        <f>IF($U$204="nulová",$N$204,0)</f>
        <v>0</v>
      </c>
      <c r="BJ204" s="6" t="s">
        <v>21</v>
      </c>
      <c r="BK204" s="82">
        <f>ROUND($L$204*$K$204,2)</f>
        <v>0</v>
      </c>
      <c r="BL204" s="6" t="s">
        <v>202</v>
      </c>
    </row>
    <row r="205" spans="2:51" s="6" customFormat="1" ht="15.75" customHeight="1">
      <c r="B205" s="130"/>
      <c r="E205" s="131"/>
      <c r="F205" s="198" t="s">
        <v>330</v>
      </c>
      <c r="G205" s="199"/>
      <c r="H205" s="199"/>
      <c r="I205" s="199"/>
      <c r="K205" s="132">
        <v>36.759</v>
      </c>
      <c r="R205" s="133"/>
      <c r="T205" s="134"/>
      <c r="AA205" s="135"/>
      <c r="AT205" s="131" t="s">
        <v>160</v>
      </c>
      <c r="AU205" s="131" t="s">
        <v>105</v>
      </c>
      <c r="AV205" s="131" t="s">
        <v>105</v>
      </c>
      <c r="AW205" s="131" t="s">
        <v>113</v>
      </c>
      <c r="AX205" s="131" t="s">
        <v>21</v>
      </c>
      <c r="AY205" s="131" t="s">
        <v>153</v>
      </c>
    </row>
    <row r="206" spans="2:64" s="6" customFormat="1" ht="15.75" customHeight="1">
      <c r="B206" s="22"/>
      <c r="C206" s="123" t="s">
        <v>331</v>
      </c>
      <c r="D206" s="123" t="s">
        <v>154</v>
      </c>
      <c r="E206" s="124" t="s">
        <v>332</v>
      </c>
      <c r="F206" s="194" t="s">
        <v>333</v>
      </c>
      <c r="G206" s="195"/>
      <c r="H206" s="195"/>
      <c r="I206" s="195"/>
      <c r="J206" s="125" t="s">
        <v>157</v>
      </c>
      <c r="K206" s="126">
        <v>36.759</v>
      </c>
      <c r="L206" s="196">
        <v>0</v>
      </c>
      <c r="M206" s="195"/>
      <c r="N206" s="197">
        <f>ROUND($L$206*$K$206,2)</f>
        <v>0</v>
      </c>
      <c r="O206" s="195"/>
      <c r="P206" s="195"/>
      <c r="Q206" s="195"/>
      <c r="R206" s="23"/>
      <c r="T206" s="127"/>
      <c r="U206" s="29" t="s">
        <v>43</v>
      </c>
      <c r="V206" s="128">
        <v>0.1</v>
      </c>
      <c r="W206" s="128">
        <f>$V$206*$K$206</f>
        <v>3.6759000000000004</v>
      </c>
      <c r="X206" s="128">
        <v>0</v>
      </c>
      <c r="Y206" s="128">
        <f>$X$206*$K$206</f>
        <v>0</v>
      </c>
      <c r="Z206" s="128">
        <v>0.002</v>
      </c>
      <c r="AA206" s="129">
        <f>$Z$206*$K$206</f>
        <v>0.073518</v>
      </c>
      <c r="AR206" s="6" t="s">
        <v>202</v>
      </c>
      <c r="AT206" s="6" t="s">
        <v>154</v>
      </c>
      <c r="AU206" s="6" t="s">
        <v>105</v>
      </c>
      <c r="AY206" s="6" t="s">
        <v>153</v>
      </c>
      <c r="BE206" s="82">
        <f>IF($U$206="základní",$N$206,0)</f>
        <v>0</v>
      </c>
      <c r="BF206" s="82">
        <f>IF($U$206="snížená",$N$206,0)</f>
        <v>0</v>
      </c>
      <c r="BG206" s="82">
        <f>IF($U$206="zákl. přenesená",$N$206,0)</f>
        <v>0</v>
      </c>
      <c r="BH206" s="82">
        <f>IF($U$206="sníž. přenesená",$N$206,0)</f>
        <v>0</v>
      </c>
      <c r="BI206" s="82">
        <f>IF($U$206="nulová",$N$206,0)</f>
        <v>0</v>
      </c>
      <c r="BJ206" s="6" t="s">
        <v>21</v>
      </c>
      <c r="BK206" s="82">
        <f>ROUND($L$206*$K$206,2)</f>
        <v>0</v>
      </c>
      <c r="BL206" s="6" t="s">
        <v>202</v>
      </c>
    </row>
    <row r="207" spans="2:64" s="6" customFormat="1" ht="15.75" customHeight="1">
      <c r="B207" s="22"/>
      <c r="C207" s="123" t="s">
        <v>334</v>
      </c>
      <c r="D207" s="123" t="s">
        <v>154</v>
      </c>
      <c r="E207" s="124" t="s">
        <v>335</v>
      </c>
      <c r="F207" s="194" t="s">
        <v>336</v>
      </c>
      <c r="G207" s="195"/>
      <c r="H207" s="195"/>
      <c r="I207" s="195"/>
      <c r="J207" s="125" t="s">
        <v>225</v>
      </c>
      <c r="K207" s="126">
        <v>12</v>
      </c>
      <c r="L207" s="196">
        <v>0</v>
      </c>
      <c r="M207" s="195"/>
      <c r="N207" s="197">
        <f>ROUND($L$207*$K$207,2)</f>
        <v>0</v>
      </c>
      <c r="O207" s="195"/>
      <c r="P207" s="195"/>
      <c r="Q207" s="195"/>
      <c r="R207" s="23"/>
      <c r="T207" s="127"/>
      <c r="U207" s="29" t="s">
        <v>43</v>
      </c>
      <c r="V207" s="128">
        <v>0.215</v>
      </c>
      <c r="W207" s="128">
        <f>$V$207*$K$207</f>
        <v>2.58</v>
      </c>
      <c r="X207" s="128">
        <v>0</v>
      </c>
      <c r="Y207" s="128">
        <f>$X$207*$K$207</f>
        <v>0</v>
      </c>
      <c r="Z207" s="128">
        <v>0.007</v>
      </c>
      <c r="AA207" s="129">
        <f>$Z$207*$K$207</f>
        <v>0.084</v>
      </c>
      <c r="AR207" s="6" t="s">
        <v>202</v>
      </c>
      <c r="AT207" s="6" t="s">
        <v>154</v>
      </c>
      <c r="AU207" s="6" t="s">
        <v>105</v>
      </c>
      <c r="AY207" s="6" t="s">
        <v>153</v>
      </c>
      <c r="BE207" s="82">
        <f>IF($U$207="základní",$N$207,0)</f>
        <v>0</v>
      </c>
      <c r="BF207" s="82">
        <f>IF($U$207="snížená",$N$207,0)</f>
        <v>0</v>
      </c>
      <c r="BG207" s="82">
        <f>IF($U$207="zákl. přenesená",$N$207,0)</f>
        <v>0</v>
      </c>
      <c r="BH207" s="82">
        <f>IF($U$207="sníž. přenesená",$N$207,0)</f>
        <v>0</v>
      </c>
      <c r="BI207" s="82">
        <f>IF($U$207="nulová",$N$207,0)</f>
        <v>0</v>
      </c>
      <c r="BJ207" s="6" t="s">
        <v>21</v>
      </c>
      <c r="BK207" s="82">
        <f>ROUND($L$207*$K$207,2)</f>
        <v>0</v>
      </c>
      <c r="BL207" s="6" t="s">
        <v>202</v>
      </c>
    </row>
    <row r="208" spans="2:64" s="6" customFormat="1" ht="27" customHeight="1">
      <c r="B208" s="22"/>
      <c r="C208" s="123" t="s">
        <v>337</v>
      </c>
      <c r="D208" s="123" t="s">
        <v>154</v>
      </c>
      <c r="E208" s="124" t="s">
        <v>338</v>
      </c>
      <c r="F208" s="194" t="s">
        <v>339</v>
      </c>
      <c r="G208" s="195"/>
      <c r="H208" s="195"/>
      <c r="I208" s="195"/>
      <c r="J208" s="125" t="s">
        <v>225</v>
      </c>
      <c r="K208" s="126">
        <v>12</v>
      </c>
      <c r="L208" s="196">
        <v>0</v>
      </c>
      <c r="M208" s="195"/>
      <c r="N208" s="197">
        <f>ROUND($L$208*$K$208,2)</f>
        <v>0</v>
      </c>
      <c r="O208" s="195"/>
      <c r="P208" s="195"/>
      <c r="Q208" s="195"/>
      <c r="R208" s="23"/>
      <c r="T208" s="127"/>
      <c r="U208" s="29" t="s">
        <v>43</v>
      </c>
      <c r="V208" s="128">
        <v>0.43</v>
      </c>
      <c r="W208" s="128">
        <f>$V$208*$K$208</f>
        <v>5.16</v>
      </c>
      <c r="X208" s="128">
        <v>0.0002</v>
      </c>
      <c r="Y208" s="128">
        <f>$X$208*$K$208</f>
        <v>0.0024000000000000002</v>
      </c>
      <c r="Z208" s="128">
        <v>0</v>
      </c>
      <c r="AA208" s="129">
        <f>$Z$208*$K$208</f>
        <v>0</v>
      </c>
      <c r="AR208" s="6" t="s">
        <v>202</v>
      </c>
      <c r="AT208" s="6" t="s">
        <v>154</v>
      </c>
      <c r="AU208" s="6" t="s">
        <v>105</v>
      </c>
      <c r="AY208" s="6" t="s">
        <v>153</v>
      </c>
      <c r="BE208" s="82">
        <f>IF($U$208="základní",$N$208,0)</f>
        <v>0</v>
      </c>
      <c r="BF208" s="82">
        <f>IF($U$208="snížená",$N$208,0)</f>
        <v>0</v>
      </c>
      <c r="BG208" s="82">
        <f>IF($U$208="zákl. přenesená",$N$208,0)</f>
        <v>0</v>
      </c>
      <c r="BH208" s="82">
        <f>IF($U$208="sníž. přenesená",$N$208,0)</f>
        <v>0</v>
      </c>
      <c r="BI208" s="82">
        <f>IF($U$208="nulová",$N$208,0)</f>
        <v>0</v>
      </c>
      <c r="BJ208" s="6" t="s">
        <v>21</v>
      </c>
      <c r="BK208" s="82">
        <f>ROUND($L$208*$K$208,2)</f>
        <v>0</v>
      </c>
      <c r="BL208" s="6" t="s">
        <v>202</v>
      </c>
    </row>
    <row r="209" spans="2:64" s="6" customFormat="1" ht="27" customHeight="1">
      <c r="B209" s="22"/>
      <c r="C209" s="123" t="s">
        <v>340</v>
      </c>
      <c r="D209" s="123" t="s">
        <v>154</v>
      </c>
      <c r="E209" s="124" t="s">
        <v>341</v>
      </c>
      <c r="F209" s="194" t="s">
        <v>342</v>
      </c>
      <c r="G209" s="195"/>
      <c r="H209" s="195"/>
      <c r="I209" s="195"/>
      <c r="J209" s="125" t="s">
        <v>225</v>
      </c>
      <c r="K209" s="126">
        <v>2</v>
      </c>
      <c r="L209" s="196">
        <v>0</v>
      </c>
      <c r="M209" s="195"/>
      <c r="N209" s="197">
        <f>ROUND($L$209*$K$209,2)</f>
        <v>0</v>
      </c>
      <c r="O209" s="195"/>
      <c r="P209" s="195"/>
      <c r="Q209" s="195"/>
      <c r="R209" s="23"/>
      <c r="T209" s="127"/>
      <c r="U209" s="29" t="s">
        <v>43</v>
      </c>
      <c r="V209" s="128">
        <v>0.065</v>
      </c>
      <c r="W209" s="128">
        <f>$V$209*$K$209</f>
        <v>0.13</v>
      </c>
      <c r="X209" s="128">
        <v>0</v>
      </c>
      <c r="Y209" s="128">
        <f>$X$209*$K$209</f>
        <v>0</v>
      </c>
      <c r="Z209" s="128">
        <v>0</v>
      </c>
      <c r="AA209" s="129">
        <f>$Z$209*$K$209</f>
        <v>0</v>
      </c>
      <c r="AR209" s="6" t="s">
        <v>202</v>
      </c>
      <c r="AT209" s="6" t="s">
        <v>154</v>
      </c>
      <c r="AU209" s="6" t="s">
        <v>105</v>
      </c>
      <c r="AY209" s="6" t="s">
        <v>153</v>
      </c>
      <c r="BE209" s="82">
        <f>IF($U$209="základní",$N$209,0)</f>
        <v>0</v>
      </c>
      <c r="BF209" s="82">
        <f>IF($U$209="snížená",$N$209,0)</f>
        <v>0</v>
      </c>
      <c r="BG209" s="82">
        <f>IF($U$209="zákl. přenesená",$N$209,0)</f>
        <v>0</v>
      </c>
      <c r="BH209" s="82">
        <f>IF($U$209="sníž. přenesená",$N$209,0)</f>
        <v>0</v>
      </c>
      <c r="BI209" s="82">
        <f>IF($U$209="nulová",$N$209,0)</f>
        <v>0</v>
      </c>
      <c r="BJ209" s="6" t="s">
        <v>21</v>
      </c>
      <c r="BK209" s="82">
        <f>ROUND($L$209*$K$209,2)</f>
        <v>0</v>
      </c>
      <c r="BL209" s="6" t="s">
        <v>202</v>
      </c>
    </row>
    <row r="210" spans="2:64" s="6" customFormat="1" ht="27" customHeight="1">
      <c r="B210" s="22"/>
      <c r="C210" s="123" t="s">
        <v>343</v>
      </c>
      <c r="D210" s="123" t="s">
        <v>154</v>
      </c>
      <c r="E210" s="124" t="s">
        <v>344</v>
      </c>
      <c r="F210" s="194" t="s">
        <v>345</v>
      </c>
      <c r="G210" s="195"/>
      <c r="H210" s="195"/>
      <c r="I210" s="195"/>
      <c r="J210" s="125" t="s">
        <v>157</v>
      </c>
      <c r="K210" s="126">
        <v>14.52</v>
      </c>
      <c r="L210" s="196">
        <v>0</v>
      </c>
      <c r="M210" s="195"/>
      <c r="N210" s="197">
        <f>ROUND($L$210*$K$210,2)</f>
        <v>0</v>
      </c>
      <c r="O210" s="195"/>
      <c r="P210" s="195"/>
      <c r="Q210" s="195"/>
      <c r="R210" s="23"/>
      <c r="T210" s="127"/>
      <c r="U210" s="29" t="s">
        <v>43</v>
      </c>
      <c r="V210" s="128">
        <v>0.888</v>
      </c>
      <c r="W210" s="128">
        <f>$V$210*$K$210</f>
        <v>12.89376</v>
      </c>
      <c r="X210" s="128">
        <v>0</v>
      </c>
      <c r="Y210" s="128">
        <f>$X$210*$K$210</f>
        <v>0</v>
      </c>
      <c r="Z210" s="128">
        <v>0.018</v>
      </c>
      <c r="AA210" s="129">
        <f>$Z$210*$K$210</f>
        <v>0.26136</v>
      </c>
      <c r="AR210" s="6" t="s">
        <v>202</v>
      </c>
      <c r="AT210" s="6" t="s">
        <v>154</v>
      </c>
      <c r="AU210" s="6" t="s">
        <v>105</v>
      </c>
      <c r="AY210" s="6" t="s">
        <v>153</v>
      </c>
      <c r="BE210" s="82">
        <f>IF($U$210="základní",$N$210,0)</f>
        <v>0</v>
      </c>
      <c r="BF210" s="82">
        <f>IF($U$210="snížená",$N$210,0)</f>
        <v>0</v>
      </c>
      <c r="BG210" s="82">
        <f>IF($U$210="zákl. přenesená",$N$210,0)</f>
        <v>0</v>
      </c>
      <c r="BH210" s="82">
        <f>IF($U$210="sníž. přenesená",$N$210,0)</f>
        <v>0</v>
      </c>
      <c r="BI210" s="82">
        <f>IF($U$210="nulová",$N$210,0)</f>
        <v>0</v>
      </c>
      <c r="BJ210" s="6" t="s">
        <v>21</v>
      </c>
      <c r="BK210" s="82">
        <f>ROUND($L$210*$K$210,2)</f>
        <v>0</v>
      </c>
      <c r="BL210" s="6" t="s">
        <v>202</v>
      </c>
    </row>
    <row r="211" spans="2:51" s="6" customFormat="1" ht="15.75" customHeight="1">
      <c r="B211" s="130"/>
      <c r="E211" s="131"/>
      <c r="F211" s="198" t="s">
        <v>346</v>
      </c>
      <c r="G211" s="199"/>
      <c r="H211" s="199"/>
      <c r="I211" s="199"/>
      <c r="K211" s="132">
        <v>14.52</v>
      </c>
      <c r="R211" s="133"/>
      <c r="T211" s="134"/>
      <c r="AA211" s="135"/>
      <c r="AT211" s="131" t="s">
        <v>160</v>
      </c>
      <c r="AU211" s="131" t="s">
        <v>105</v>
      </c>
      <c r="AV211" s="131" t="s">
        <v>105</v>
      </c>
      <c r="AW211" s="131" t="s">
        <v>113</v>
      </c>
      <c r="AX211" s="131" t="s">
        <v>21</v>
      </c>
      <c r="AY211" s="131" t="s">
        <v>153</v>
      </c>
    </row>
    <row r="212" spans="2:64" s="6" customFormat="1" ht="15.75" customHeight="1">
      <c r="B212" s="22"/>
      <c r="C212" s="123" t="s">
        <v>347</v>
      </c>
      <c r="D212" s="123" t="s">
        <v>154</v>
      </c>
      <c r="E212" s="124" t="s">
        <v>348</v>
      </c>
      <c r="F212" s="194" t="s">
        <v>349</v>
      </c>
      <c r="G212" s="195"/>
      <c r="H212" s="195"/>
      <c r="I212" s="195"/>
      <c r="J212" s="125" t="s">
        <v>225</v>
      </c>
      <c r="K212" s="126">
        <v>1</v>
      </c>
      <c r="L212" s="196">
        <v>0</v>
      </c>
      <c r="M212" s="195"/>
      <c r="N212" s="197">
        <f>ROUND($L$212*$K$212,2)</f>
        <v>0</v>
      </c>
      <c r="O212" s="195"/>
      <c r="P212" s="195"/>
      <c r="Q212" s="195"/>
      <c r="R212" s="23"/>
      <c r="T212" s="127"/>
      <c r="U212" s="29" t="s">
        <v>43</v>
      </c>
      <c r="V212" s="128">
        <v>0.29</v>
      </c>
      <c r="W212" s="128">
        <f>$V$212*$K$212</f>
        <v>0.29</v>
      </c>
      <c r="X212" s="128">
        <v>0</v>
      </c>
      <c r="Y212" s="128">
        <f>$X$212*$K$212</f>
        <v>0</v>
      </c>
      <c r="Z212" s="128">
        <v>0</v>
      </c>
      <c r="AA212" s="129">
        <f>$Z$212*$K$212</f>
        <v>0</v>
      </c>
      <c r="AR212" s="6" t="s">
        <v>202</v>
      </c>
      <c r="AT212" s="6" t="s">
        <v>154</v>
      </c>
      <c r="AU212" s="6" t="s">
        <v>105</v>
      </c>
      <c r="AY212" s="6" t="s">
        <v>153</v>
      </c>
      <c r="BE212" s="82">
        <f>IF($U$212="základní",$N$212,0)</f>
        <v>0</v>
      </c>
      <c r="BF212" s="82">
        <f>IF($U$212="snížená",$N$212,0)</f>
        <v>0</v>
      </c>
      <c r="BG212" s="82">
        <f>IF($U$212="zákl. přenesená",$N$212,0)</f>
        <v>0</v>
      </c>
      <c r="BH212" s="82">
        <f>IF($U$212="sníž. přenesená",$N$212,0)</f>
        <v>0</v>
      </c>
      <c r="BI212" s="82">
        <f>IF($U$212="nulová",$N$212,0)</f>
        <v>0</v>
      </c>
      <c r="BJ212" s="6" t="s">
        <v>21</v>
      </c>
      <c r="BK212" s="82">
        <f>ROUND($L$212*$K$212,2)</f>
        <v>0</v>
      </c>
      <c r="BL212" s="6" t="s">
        <v>202</v>
      </c>
    </row>
    <row r="213" spans="2:64" s="6" customFormat="1" ht="27" customHeight="1">
      <c r="B213" s="22"/>
      <c r="C213" s="123" t="s">
        <v>350</v>
      </c>
      <c r="D213" s="123" t="s">
        <v>154</v>
      </c>
      <c r="E213" s="124" t="s">
        <v>351</v>
      </c>
      <c r="F213" s="194" t="s">
        <v>352</v>
      </c>
      <c r="G213" s="195"/>
      <c r="H213" s="195"/>
      <c r="I213" s="195"/>
      <c r="J213" s="125" t="s">
        <v>305</v>
      </c>
      <c r="K213" s="140">
        <v>0</v>
      </c>
      <c r="L213" s="196">
        <v>0</v>
      </c>
      <c r="M213" s="195"/>
      <c r="N213" s="197">
        <f>ROUND($L$213*$K$213,2)</f>
        <v>0</v>
      </c>
      <c r="O213" s="195"/>
      <c r="P213" s="195"/>
      <c r="Q213" s="195"/>
      <c r="R213" s="23"/>
      <c r="T213" s="127"/>
      <c r="U213" s="29" t="s">
        <v>43</v>
      </c>
      <c r="V213" s="128">
        <v>0</v>
      </c>
      <c r="W213" s="128">
        <f>$V$213*$K$213</f>
        <v>0</v>
      </c>
      <c r="X213" s="128">
        <v>0</v>
      </c>
      <c r="Y213" s="128">
        <f>$X$213*$K$213</f>
        <v>0</v>
      </c>
      <c r="Z213" s="128">
        <v>0</v>
      </c>
      <c r="AA213" s="129">
        <f>$Z$213*$K$213</f>
        <v>0</v>
      </c>
      <c r="AR213" s="6" t="s">
        <v>202</v>
      </c>
      <c r="AT213" s="6" t="s">
        <v>154</v>
      </c>
      <c r="AU213" s="6" t="s">
        <v>105</v>
      </c>
      <c r="AY213" s="6" t="s">
        <v>153</v>
      </c>
      <c r="BE213" s="82">
        <f>IF($U$213="základní",$N$213,0)</f>
        <v>0</v>
      </c>
      <c r="BF213" s="82">
        <f>IF($U$213="snížená",$N$213,0)</f>
        <v>0</v>
      </c>
      <c r="BG213" s="82">
        <f>IF($U$213="zákl. přenesená",$N$213,0)</f>
        <v>0</v>
      </c>
      <c r="BH213" s="82">
        <f>IF($U$213="sníž. přenesená",$N$213,0)</f>
        <v>0</v>
      </c>
      <c r="BI213" s="82">
        <f>IF($U$213="nulová",$N$213,0)</f>
        <v>0</v>
      </c>
      <c r="BJ213" s="6" t="s">
        <v>21</v>
      </c>
      <c r="BK213" s="82">
        <f>ROUND($L$213*$K$213,2)</f>
        <v>0</v>
      </c>
      <c r="BL213" s="6" t="s">
        <v>202</v>
      </c>
    </row>
    <row r="214" spans="2:63" s="113" customFormat="1" ht="30.75" customHeight="1">
      <c r="B214" s="114"/>
      <c r="D214" s="122" t="s">
        <v>126</v>
      </c>
      <c r="N214" s="208">
        <f>$BK$214</f>
        <v>0</v>
      </c>
      <c r="O214" s="207"/>
      <c r="P214" s="207"/>
      <c r="Q214" s="207"/>
      <c r="R214" s="117"/>
      <c r="T214" s="118"/>
      <c r="W214" s="119">
        <f>SUM($W$215:$W$218)</f>
        <v>0.45491200000000004</v>
      </c>
      <c r="Y214" s="119">
        <f>SUM($Y$215:$Y$218)</f>
        <v>2.6388999999999998E-05</v>
      </c>
      <c r="AA214" s="120">
        <f>SUM($AA$215:$AA$218)</f>
        <v>0</v>
      </c>
      <c r="AR214" s="116" t="s">
        <v>105</v>
      </c>
      <c r="AT214" s="116" t="s">
        <v>77</v>
      </c>
      <c r="AU214" s="116" t="s">
        <v>21</v>
      </c>
      <c r="AY214" s="116" t="s">
        <v>153</v>
      </c>
      <c r="BK214" s="121">
        <f>SUM($BK$215:$BK$218)</f>
        <v>0</v>
      </c>
    </row>
    <row r="215" spans="2:64" s="6" customFormat="1" ht="15.75" customHeight="1">
      <c r="B215" s="22"/>
      <c r="C215" s="123" t="s">
        <v>353</v>
      </c>
      <c r="D215" s="123" t="s">
        <v>154</v>
      </c>
      <c r="E215" s="124" t="s">
        <v>354</v>
      </c>
      <c r="F215" s="194" t="s">
        <v>355</v>
      </c>
      <c r="G215" s="195"/>
      <c r="H215" s="195"/>
      <c r="I215" s="195"/>
      <c r="J215" s="125" t="s">
        <v>157</v>
      </c>
      <c r="K215" s="126">
        <v>4.4</v>
      </c>
      <c r="L215" s="196">
        <v>0</v>
      </c>
      <c r="M215" s="195"/>
      <c r="N215" s="197">
        <f>ROUND($L$215*$K$215,2)</f>
        <v>0</v>
      </c>
      <c r="O215" s="195"/>
      <c r="P215" s="195"/>
      <c r="Q215" s="195"/>
      <c r="R215" s="23"/>
      <c r="T215" s="127"/>
      <c r="U215" s="29" t="s">
        <v>43</v>
      </c>
      <c r="V215" s="128">
        <v>0.012</v>
      </c>
      <c r="W215" s="128">
        <f>$V$215*$K$215</f>
        <v>0.05280000000000001</v>
      </c>
      <c r="X215" s="128">
        <v>0</v>
      </c>
      <c r="Y215" s="128">
        <f>$X$215*$K$215</f>
        <v>0</v>
      </c>
      <c r="Z215" s="128">
        <v>0</v>
      </c>
      <c r="AA215" s="129">
        <f>$Z$215*$K$215</f>
        <v>0</v>
      </c>
      <c r="AR215" s="6" t="s">
        <v>158</v>
      </c>
      <c r="AT215" s="6" t="s">
        <v>154</v>
      </c>
      <c r="AU215" s="6" t="s">
        <v>105</v>
      </c>
      <c r="AY215" s="6" t="s">
        <v>153</v>
      </c>
      <c r="BE215" s="82">
        <f>IF($U$215="základní",$N$215,0)</f>
        <v>0</v>
      </c>
      <c r="BF215" s="82">
        <f>IF($U$215="snížená",$N$215,0)</f>
        <v>0</v>
      </c>
      <c r="BG215" s="82">
        <f>IF($U$215="zákl. přenesená",$N$215,0)</f>
        <v>0</v>
      </c>
      <c r="BH215" s="82">
        <f>IF($U$215="sníž. přenesená",$N$215,0)</f>
        <v>0</v>
      </c>
      <c r="BI215" s="82">
        <f>IF($U$215="nulová",$N$215,0)</f>
        <v>0</v>
      </c>
      <c r="BJ215" s="6" t="s">
        <v>21</v>
      </c>
      <c r="BK215" s="82">
        <f>ROUND($L$215*$K$215,2)</f>
        <v>0</v>
      </c>
      <c r="BL215" s="6" t="s">
        <v>158</v>
      </c>
    </row>
    <row r="216" spans="2:64" s="6" customFormat="1" ht="27" customHeight="1">
      <c r="B216" s="22"/>
      <c r="C216" s="123" t="s">
        <v>356</v>
      </c>
      <c r="D216" s="123" t="s">
        <v>154</v>
      </c>
      <c r="E216" s="124" t="s">
        <v>357</v>
      </c>
      <c r="F216" s="194" t="s">
        <v>358</v>
      </c>
      <c r="G216" s="195"/>
      <c r="H216" s="195"/>
      <c r="I216" s="195"/>
      <c r="J216" s="125" t="s">
        <v>157</v>
      </c>
      <c r="K216" s="126">
        <v>25.132</v>
      </c>
      <c r="L216" s="196">
        <v>0</v>
      </c>
      <c r="M216" s="195"/>
      <c r="N216" s="197">
        <f>ROUND($L$216*$K$216,2)</f>
        <v>0</v>
      </c>
      <c r="O216" s="195"/>
      <c r="P216" s="195"/>
      <c r="Q216" s="195"/>
      <c r="R216" s="23"/>
      <c r="T216" s="127"/>
      <c r="U216" s="29" t="s">
        <v>43</v>
      </c>
      <c r="V216" s="128">
        <v>0.016</v>
      </c>
      <c r="W216" s="128">
        <f>$V$216*$K$216</f>
        <v>0.402112</v>
      </c>
      <c r="X216" s="128">
        <v>0</v>
      </c>
      <c r="Y216" s="128">
        <f>$X$216*$K$216</f>
        <v>0</v>
      </c>
      <c r="Z216" s="128">
        <v>0</v>
      </c>
      <c r="AA216" s="129">
        <f>$Z$216*$K$216</f>
        <v>0</v>
      </c>
      <c r="AR216" s="6" t="s">
        <v>202</v>
      </c>
      <c r="AT216" s="6" t="s">
        <v>154</v>
      </c>
      <c r="AU216" s="6" t="s">
        <v>105</v>
      </c>
      <c r="AY216" s="6" t="s">
        <v>153</v>
      </c>
      <c r="BE216" s="82">
        <f>IF($U$216="základní",$N$216,0)</f>
        <v>0</v>
      </c>
      <c r="BF216" s="82">
        <f>IF($U$216="snížená",$N$216,0)</f>
        <v>0</v>
      </c>
      <c r="BG216" s="82">
        <f>IF($U$216="zákl. přenesená",$N$216,0)</f>
        <v>0</v>
      </c>
      <c r="BH216" s="82">
        <f>IF($U$216="sníž. přenesená",$N$216,0)</f>
        <v>0</v>
      </c>
      <c r="BI216" s="82">
        <f>IF($U$216="nulová",$N$216,0)</f>
        <v>0</v>
      </c>
      <c r="BJ216" s="6" t="s">
        <v>21</v>
      </c>
      <c r="BK216" s="82">
        <f>ROUND($L$216*$K$216,2)</f>
        <v>0</v>
      </c>
      <c r="BL216" s="6" t="s">
        <v>202</v>
      </c>
    </row>
    <row r="217" spans="2:51" s="6" customFormat="1" ht="27" customHeight="1">
      <c r="B217" s="130"/>
      <c r="E217" s="131"/>
      <c r="F217" s="198" t="s">
        <v>359</v>
      </c>
      <c r="G217" s="199"/>
      <c r="H217" s="199"/>
      <c r="I217" s="199"/>
      <c r="K217" s="132">
        <v>25.132</v>
      </c>
      <c r="R217" s="133"/>
      <c r="T217" s="134"/>
      <c r="AA217" s="135"/>
      <c r="AT217" s="131" t="s">
        <v>160</v>
      </c>
      <c r="AU217" s="131" t="s">
        <v>105</v>
      </c>
      <c r="AV217" s="131" t="s">
        <v>105</v>
      </c>
      <c r="AW217" s="131" t="s">
        <v>113</v>
      </c>
      <c r="AX217" s="131" t="s">
        <v>21</v>
      </c>
      <c r="AY217" s="131" t="s">
        <v>153</v>
      </c>
    </row>
    <row r="218" spans="2:64" s="6" customFormat="1" ht="27" customHeight="1">
      <c r="B218" s="22"/>
      <c r="C218" s="136" t="s">
        <v>360</v>
      </c>
      <c r="D218" s="136" t="s">
        <v>204</v>
      </c>
      <c r="E218" s="137" t="s">
        <v>361</v>
      </c>
      <c r="F218" s="200" t="s">
        <v>362</v>
      </c>
      <c r="G218" s="201"/>
      <c r="H218" s="201"/>
      <c r="I218" s="201"/>
      <c r="J218" s="138" t="s">
        <v>157</v>
      </c>
      <c r="K218" s="139">
        <v>26.389</v>
      </c>
      <c r="L218" s="202">
        <v>0</v>
      </c>
      <c r="M218" s="201"/>
      <c r="N218" s="203">
        <f>ROUND($L$218*$K$218,2)</f>
        <v>0</v>
      </c>
      <c r="O218" s="195"/>
      <c r="P218" s="195"/>
      <c r="Q218" s="195"/>
      <c r="R218" s="23"/>
      <c r="T218" s="127"/>
      <c r="U218" s="29" t="s">
        <v>43</v>
      </c>
      <c r="V218" s="128">
        <v>0</v>
      </c>
      <c r="W218" s="128">
        <f>$V$218*$K$218</f>
        <v>0</v>
      </c>
      <c r="X218" s="128">
        <v>1E-06</v>
      </c>
      <c r="Y218" s="128">
        <f>$X$218*$K$218</f>
        <v>2.6388999999999998E-05</v>
      </c>
      <c r="Z218" s="128">
        <v>0</v>
      </c>
      <c r="AA218" s="129">
        <f>$Z$218*$K$218</f>
        <v>0</v>
      </c>
      <c r="AR218" s="6" t="s">
        <v>207</v>
      </c>
      <c r="AT218" s="6" t="s">
        <v>204</v>
      </c>
      <c r="AU218" s="6" t="s">
        <v>105</v>
      </c>
      <c r="AY218" s="6" t="s">
        <v>153</v>
      </c>
      <c r="BE218" s="82">
        <f>IF($U$218="základní",$N$218,0)</f>
        <v>0</v>
      </c>
      <c r="BF218" s="82">
        <f>IF($U$218="snížená",$N$218,0)</f>
        <v>0</v>
      </c>
      <c r="BG218" s="82">
        <f>IF($U$218="zákl. přenesená",$N$218,0)</f>
        <v>0</v>
      </c>
      <c r="BH218" s="82">
        <f>IF($U$218="sníž. přenesená",$N$218,0)</f>
        <v>0</v>
      </c>
      <c r="BI218" s="82">
        <f>IF($U$218="nulová",$N$218,0)</f>
        <v>0</v>
      </c>
      <c r="BJ218" s="6" t="s">
        <v>21</v>
      </c>
      <c r="BK218" s="82">
        <f>ROUND($L$218*$K$218,2)</f>
        <v>0</v>
      </c>
      <c r="BL218" s="6" t="s">
        <v>202</v>
      </c>
    </row>
    <row r="219" spans="2:63" s="113" customFormat="1" ht="30.75" customHeight="1">
      <c r="B219" s="114"/>
      <c r="D219" s="122" t="s">
        <v>127</v>
      </c>
      <c r="N219" s="208">
        <f>$BK$219</f>
        <v>0</v>
      </c>
      <c r="O219" s="207"/>
      <c r="P219" s="207"/>
      <c r="Q219" s="207"/>
      <c r="R219" s="117"/>
      <c r="T219" s="118"/>
      <c r="W219" s="119">
        <f>$W$220</f>
        <v>0.408</v>
      </c>
      <c r="Y219" s="119">
        <f>$Y$220</f>
        <v>0</v>
      </c>
      <c r="AA219" s="120">
        <f>$AA$220</f>
        <v>0.08</v>
      </c>
      <c r="AR219" s="116" t="s">
        <v>105</v>
      </c>
      <c r="AT219" s="116" t="s">
        <v>77</v>
      </c>
      <c r="AU219" s="116" t="s">
        <v>21</v>
      </c>
      <c r="AY219" s="116" t="s">
        <v>153</v>
      </c>
      <c r="BK219" s="121">
        <f>$BK$220</f>
        <v>0</v>
      </c>
    </row>
    <row r="220" spans="2:64" s="6" customFormat="1" ht="15.75" customHeight="1">
      <c r="B220" s="22"/>
      <c r="C220" s="123" t="s">
        <v>363</v>
      </c>
      <c r="D220" s="123" t="s">
        <v>154</v>
      </c>
      <c r="E220" s="124" t="s">
        <v>364</v>
      </c>
      <c r="F220" s="194" t="s">
        <v>365</v>
      </c>
      <c r="G220" s="195"/>
      <c r="H220" s="195"/>
      <c r="I220" s="195"/>
      <c r="J220" s="125" t="s">
        <v>279</v>
      </c>
      <c r="K220" s="126">
        <v>1</v>
      </c>
      <c r="L220" s="196">
        <v>0</v>
      </c>
      <c r="M220" s="195"/>
      <c r="N220" s="197">
        <f>ROUND($L$220*$K$220,2)</f>
        <v>0</v>
      </c>
      <c r="O220" s="195"/>
      <c r="P220" s="195"/>
      <c r="Q220" s="195"/>
      <c r="R220" s="23"/>
      <c r="T220" s="127"/>
      <c r="U220" s="29" t="s">
        <v>43</v>
      </c>
      <c r="V220" s="128">
        <v>0.408</v>
      </c>
      <c r="W220" s="128">
        <f>$V$220*$K$220</f>
        <v>0.408</v>
      </c>
      <c r="X220" s="128">
        <v>0</v>
      </c>
      <c r="Y220" s="128">
        <f>$X$220*$K$220</f>
        <v>0</v>
      </c>
      <c r="Z220" s="128">
        <v>0.08</v>
      </c>
      <c r="AA220" s="129">
        <f>$Z$220*$K$220</f>
        <v>0.08</v>
      </c>
      <c r="AR220" s="6" t="s">
        <v>202</v>
      </c>
      <c r="AT220" s="6" t="s">
        <v>154</v>
      </c>
      <c r="AU220" s="6" t="s">
        <v>105</v>
      </c>
      <c r="AY220" s="6" t="s">
        <v>153</v>
      </c>
      <c r="BE220" s="82">
        <f>IF($U$220="základní",$N$220,0)</f>
        <v>0</v>
      </c>
      <c r="BF220" s="82">
        <f>IF($U$220="snížená",$N$220,0)</f>
        <v>0</v>
      </c>
      <c r="BG220" s="82">
        <f>IF($U$220="zákl. přenesená",$N$220,0)</f>
        <v>0</v>
      </c>
      <c r="BH220" s="82">
        <f>IF($U$220="sníž. přenesená",$N$220,0)</f>
        <v>0</v>
      </c>
      <c r="BI220" s="82">
        <f>IF($U$220="nulová",$N$220,0)</f>
        <v>0</v>
      </c>
      <c r="BJ220" s="6" t="s">
        <v>21</v>
      </c>
      <c r="BK220" s="82">
        <f>ROUND($L$220*$K$220,2)</f>
        <v>0</v>
      </c>
      <c r="BL220" s="6" t="s">
        <v>202</v>
      </c>
    </row>
    <row r="221" spans="2:63" s="6" customFormat="1" ht="51" customHeight="1">
      <c r="B221" s="22"/>
      <c r="D221" s="115" t="s">
        <v>366</v>
      </c>
      <c r="N221" s="190">
        <f>$BK$221</f>
        <v>0</v>
      </c>
      <c r="O221" s="149"/>
      <c r="P221" s="149"/>
      <c r="Q221" s="149"/>
      <c r="R221" s="23"/>
      <c r="T221" s="57"/>
      <c r="AA221" s="58"/>
      <c r="AT221" s="6" t="s">
        <v>77</v>
      </c>
      <c r="AU221" s="6" t="s">
        <v>78</v>
      </c>
      <c r="AY221" s="6" t="s">
        <v>367</v>
      </c>
      <c r="BK221" s="82">
        <f>SUM($BK$222:$BK$226)</f>
        <v>0</v>
      </c>
    </row>
    <row r="222" spans="2:63" s="6" customFormat="1" ht="23.25" customHeight="1">
      <c r="B222" s="22"/>
      <c r="C222" s="141"/>
      <c r="D222" s="141" t="s">
        <v>154</v>
      </c>
      <c r="E222" s="142"/>
      <c r="F222" s="204"/>
      <c r="G222" s="205"/>
      <c r="H222" s="205"/>
      <c r="I222" s="205"/>
      <c r="J222" s="143"/>
      <c r="K222" s="140"/>
      <c r="L222" s="196"/>
      <c r="M222" s="195"/>
      <c r="N222" s="197">
        <f>$BK$222</f>
        <v>0</v>
      </c>
      <c r="O222" s="195"/>
      <c r="P222" s="195"/>
      <c r="Q222" s="195"/>
      <c r="R222" s="23"/>
      <c r="T222" s="127"/>
      <c r="U222" s="144" t="s">
        <v>43</v>
      </c>
      <c r="AA222" s="58"/>
      <c r="AT222" s="6" t="s">
        <v>367</v>
      </c>
      <c r="AU222" s="6" t="s">
        <v>21</v>
      </c>
      <c r="AY222" s="6" t="s">
        <v>367</v>
      </c>
      <c r="BE222" s="82">
        <f>IF($U$222="základní",$N$222,0)</f>
        <v>0</v>
      </c>
      <c r="BF222" s="82">
        <f>IF($U$222="snížená",$N$222,0)</f>
        <v>0</v>
      </c>
      <c r="BG222" s="82">
        <f>IF($U$222="zákl. přenesená",$N$222,0)</f>
        <v>0</v>
      </c>
      <c r="BH222" s="82">
        <f>IF($U$222="sníž. přenesená",$N$222,0)</f>
        <v>0</v>
      </c>
      <c r="BI222" s="82">
        <f>IF($U$222="nulová",$N$222,0)</f>
        <v>0</v>
      </c>
      <c r="BJ222" s="6" t="s">
        <v>21</v>
      </c>
      <c r="BK222" s="82">
        <f>$L$222*$K$222</f>
        <v>0</v>
      </c>
    </row>
    <row r="223" spans="2:63" s="6" customFormat="1" ht="23.25" customHeight="1">
      <c r="B223" s="22"/>
      <c r="C223" s="141"/>
      <c r="D223" s="141" t="s">
        <v>154</v>
      </c>
      <c r="E223" s="142"/>
      <c r="F223" s="204"/>
      <c r="G223" s="205"/>
      <c r="H223" s="205"/>
      <c r="I223" s="205"/>
      <c r="J223" s="143"/>
      <c r="K223" s="140"/>
      <c r="L223" s="196"/>
      <c r="M223" s="195"/>
      <c r="N223" s="197">
        <f>$BK$223</f>
        <v>0</v>
      </c>
      <c r="O223" s="195"/>
      <c r="P223" s="195"/>
      <c r="Q223" s="195"/>
      <c r="R223" s="23"/>
      <c r="T223" s="127"/>
      <c r="U223" s="144" t="s">
        <v>43</v>
      </c>
      <c r="AA223" s="58"/>
      <c r="AT223" s="6" t="s">
        <v>367</v>
      </c>
      <c r="AU223" s="6" t="s">
        <v>21</v>
      </c>
      <c r="AY223" s="6" t="s">
        <v>367</v>
      </c>
      <c r="BE223" s="82">
        <f>IF($U$223="základní",$N$223,0)</f>
        <v>0</v>
      </c>
      <c r="BF223" s="82">
        <f>IF($U$223="snížená",$N$223,0)</f>
        <v>0</v>
      </c>
      <c r="BG223" s="82">
        <f>IF($U$223="zákl. přenesená",$N$223,0)</f>
        <v>0</v>
      </c>
      <c r="BH223" s="82">
        <f>IF($U$223="sníž. přenesená",$N$223,0)</f>
        <v>0</v>
      </c>
      <c r="BI223" s="82">
        <f>IF($U$223="nulová",$N$223,0)</f>
        <v>0</v>
      </c>
      <c r="BJ223" s="6" t="s">
        <v>21</v>
      </c>
      <c r="BK223" s="82">
        <f>$L$223*$K$223</f>
        <v>0</v>
      </c>
    </row>
    <row r="224" spans="2:63" s="6" customFormat="1" ht="23.25" customHeight="1">
      <c r="B224" s="22"/>
      <c r="C224" s="141"/>
      <c r="D224" s="141" t="s">
        <v>154</v>
      </c>
      <c r="E224" s="142"/>
      <c r="F224" s="204"/>
      <c r="G224" s="205"/>
      <c r="H224" s="205"/>
      <c r="I224" s="205"/>
      <c r="J224" s="143"/>
      <c r="K224" s="140"/>
      <c r="L224" s="196"/>
      <c r="M224" s="195"/>
      <c r="N224" s="197">
        <f>$BK$224</f>
        <v>0</v>
      </c>
      <c r="O224" s="195"/>
      <c r="P224" s="195"/>
      <c r="Q224" s="195"/>
      <c r="R224" s="23"/>
      <c r="T224" s="127"/>
      <c r="U224" s="144" t="s">
        <v>43</v>
      </c>
      <c r="AA224" s="58"/>
      <c r="AT224" s="6" t="s">
        <v>367</v>
      </c>
      <c r="AU224" s="6" t="s">
        <v>21</v>
      </c>
      <c r="AY224" s="6" t="s">
        <v>367</v>
      </c>
      <c r="BE224" s="82">
        <f>IF($U$224="základní",$N$224,0)</f>
        <v>0</v>
      </c>
      <c r="BF224" s="82">
        <f>IF($U$224="snížená",$N$224,0)</f>
        <v>0</v>
      </c>
      <c r="BG224" s="82">
        <f>IF($U$224="zákl. přenesená",$N$224,0)</f>
        <v>0</v>
      </c>
      <c r="BH224" s="82">
        <f>IF($U$224="sníž. přenesená",$N$224,0)</f>
        <v>0</v>
      </c>
      <c r="BI224" s="82">
        <f>IF($U$224="nulová",$N$224,0)</f>
        <v>0</v>
      </c>
      <c r="BJ224" s="6" t="s">
        <v>21</v>
      </c>
      <c r="BK224" s="82">
        <f>$L$224*$K$224</f>
        <v>0</v>
      </c>
    </row>
    <row r="225" spans="2:63" s="6" customFormat="1" ht="23.25" customHeight="1">
      <c r="B225" s="22"/>
      <c r="C225" s="141"/>
      <c r="D225" s="141" t="s">
        <v>154</v>
      </c>
      <c r="E225" s="142"/>
      <c r="F225" s="204"/>
      <c r="G225" s="205"/>
      <c r="H225" s="205"/>
      <c r="I225" s="205"/>
      <c r="J225" s="143"/>
      <c r="K225" s="140"/>
      <c r="L225" s="196"/>
      <c r="M225" s="195"/>
      <c r="N225" s="197">
        <f>$BK$225</f>
        <v>0</v>
      </c>
      <c r="O225" s="195"/>
      <c r="P225" s="195"/>
      <c r="Q225" s="195"/>
      <c r="R225" s="23"/>
      <c r="T225" s="127"/>
      <c r="U225" s="144" t="s">
        <v>43</v>
      </c>
      <c r="AA225" s="58"/>
      <c r="AT225" s="6" t="s">
        <v>367</v>
      </c>
      <c r="AU225" s="6" t="s">
        <v>21</v>
      </c>
      <c r="AY225" s="6" t="s">
        <v>367</v>
      </c>
      <c r="BE225" s="82">
        <f>IF($U$225="základní",$N$225,0)</f>
        <v>0</v>
      </c>
      <c r="BF225" s="82">
        <f>IF($U$225="snížená",$N$225,0)</f>
        <v>0</v>
      </c>
      <c r="BG225" s="82">
        <f>IF($U$225="zákl. přenesená",$N$225,0)</f>
        <v>0</v>
      </c>
      <c r="BH225" s="82">
        <f>IF($U$225="sníž. přenesená",$N$225,0)</f>
        <v>0</v>
      </c>
      <c r="BI225" s="82">
        <f>IF($U$225="nulová",$N$225,0)</f>
        <v>0</v>
      </c>
      <c r="BJ225" s="6" t="s">
        <v>21</v>
      </c>
      <c r="BK225" s="82">
        <f>$L$225*$K$225</f>
        <v>0</v>
      </c>
    </row>
    <row r="226" spans="2:63" s="6" customFormat="1" ht="23.25" customHeight="1">
      <c r="B226" s="22"/>
      <c r="C226" s="141"/>
      <c r="D226" s="141" t="s">
        <v>154</v>
      </c>
      <c r="E226" s="142"/>
      <c r="F226" s="204"/>
      <c r="G226" s="205"/>
      <c r="H226" s="205"/>
      <c r="I226" s="205"/>
      <c r="J226" s="143"/>
      <c r="K226" s="140"/>
      <c r="L226" s="196"/>
      <c r="M226" s="195"/>
      <c r="N226" s="197">
        <f>$BK$226</f>
        <v>0</v>
      </c>
      <c r="O226" s="195"/>
      <c r="P226" s="195"/>
      <c r="Q226" s="195"/>
      <c r="R226" s="23"/>
      <c r="T226" s="127"/>
      <c r="U226" s="144" t="s">
        <v>43</v>
      </c>
      <c r="V226" s="41"/>
      <c r="W226" s="41"/>
      <c r="X226" s="41"/>
      <c r="Y226" s="41"/>
      <c r="Z226" s="41"/>
      <c r="AA226" s="43"/>
      <c r="AT226" s="6" t="s">
        <v>367</v>
      </c>
      <c r="AU226" s="6" t="s">
        <v>21</v>
      </c>
      <c r="AY226" s="6" t="s">
        <v>367</v>
      </c>
      <c r="BE226" s="82">
        <f>IF($U$226="základní",$N$226,0)</f>
        <v>0</v>
      </c>
      <c r="BF226" s="82">
        <f>IF($U$226="snížená",$N$226,0)</f>
        <v>0</v>
      </c>
      <c r="BG226" s="82">
        <f>IF($U$226="zákl. přenesená",$N$226,0)</f>
        <v>0</v>
      </c>
      <c r="BH226" s="82">
        <f>IF($U$226="sníž. přenesená",$N$226,0)</f>
        <v>0</v>
      </c>
      <c r="BI226" s="82">
        <f>IF($U$226="nulová",$N$226,0)</f>
        <v>0</v>
      </c>
      <c r="BJ226" s="6" t="s">
        <v>21</v>
      </c>
      <c r="BK226" s="82">
        <f>$L$226*$K$226</f>
        <v>0</v>
      </c>
    </row>
    <row r="227" spans="2:18" s="6" customFormat="1" ht="7.5" customHeight="1">
      <c r="B227" s="44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</row>
    <row r="228" s="2" customFormat="1" ht="14.25" customHeight="1"/>
  </sheetData>
  <sheetProtection/>
  <mergeCells count="315">
    <mergeCell ref="N214:Q214"/>
    <mergeCell ref="N219:Q219"/>
    <mergeCell ref="N221:Q221"/>
    <mergeCell ref="H1:K1"/>
    <mergeCell ref="S2:AC2"/>
    <mergeCell ref="N163:Q163"/>
    <mergeCell ref="N167:Q167"/>
    <mergeCell ref="N184:Q184"/>
    <mergeCell ref="N187:Q187"/>
    <mergeCell ref="N195:Q195"/>
    <mergeCell ref="N202:Q202"/>
    <mergeCell ref="F226:I226"/>
    <mergeCell ref="L226:M226"/>
    <mergeCell ref="N226:Q226"/>
    <mergeCell ref="N130:Q130"/>
    <mergeCell ref="N131:Q131"/>
    <mergeCell ref="N132:Q132"/>
    <mergeCell ref="N140:Q140"/>
    <mergeCell ref="N145:Q145"/>
    <mergeCell ref="N152:Q152"/>
    <mergeCell ref="N153:Q153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17:I217"/>
    <mergeCell ref="F218:I218"/>
    <mergeCell ref="L218:M218"/>
    <mergeCell ref="N218:Q218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1:I211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5:I205"/>
    <mergeCell ref="F206:I206"/>
    <mergeCell ref="L206:M206"/>
    <mergeCell ref="N206:Q206"/>
    <mergeCell ref="F201:I201"/>
    <mergeCell ref="L201:M201"/>
    <mergeCell ref="N201:Q201"/>
    <mergeCell ref="F203:I203"/>
    <mergeCell ref="L203:M203"/>
    <mergeCell ref="N203:Q203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6:I196"/>
    <mergeCell ref="L196:M196"/>
    <mergeCell ref="N196:Q196"/>
    <mergeCell ref="F191:I191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8:I188"/>
    <mergeCell ref="L188:M188"/>
    <mergeCell ref="N188:Q188"/>
    <mergeCell ref="F183:I183"/>
    <mergeCell ref="L183:M183"/>
    <mergeCell ref="N183:Q183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59:I159"/>
    <mergeCell ref="F160:I160"/>
    <mergeCell ref="L160:M160"/>
    <mergeCell ref="N160:Q160"/>
    <mergeCell ref="F155:I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4:I154"/>
    <mergeCell ref="L154:M154"/>
    <mergeCell ref="N154:Q154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4:I134"/>
    <mergeCell ref="F135:I135"/>
    <mergeCell ref="L135:M135"/>
    <mergeCell ref="N135:Q135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1:Q101"/>
    <mergeCell ref="N102:Q102"/>
    <mergeCell ref="N103:Q103"/>
    <mergeCell ref="N105:Q105"/>
    <mergeCell ref="D106:H106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22:D227">
      <formula1>"K,M"</formula1>
    </dataValidation>
    <dataValidation type="list" allowBlank="1" showInputMessage="1" showErrorMessage="1" error="Povoleny jsou hodnoty základní, snížená, zákl. přenesená, sníž. přenesená, nulová." sqref="U222:U22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modified xsi:type="dcterms:W3CDTF">2013-09-23T09:34:07Z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