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1337 - Výměna části oken ..." sheetId="2" r:id="rId2"/>
  </sheets>
  <definedNames>
    <definedName name="_xlnm.Print_Titles" localSheetId="1">'1337 - Výměna části oken ...'!$128:$128</definedName>
    <definedName name="_xlnm.Print_Titles" localSheetId="0">'Rekapitulace stavby'!$85:$85</definedName>
    <definedName name="_xlnm.Print_Area" localSheetId="1">'1337 - Výměna části oken ...'!$C$4:$Q$70,'1337 - Výměna části oken ...'!$C$76:$Q$113,'1337 - Výměna části oken ...'!$C$119:$Q$266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<sst xmlns="http://schemas.openxmlformats.org/spreadsheetml/2006/main" count="1612" uniqueCount="432">
  <si>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</si>
  <si>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</si>
  <si>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</si>
  <si>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</si>
  <si>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</si>
  <si>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</si>
  <si>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</si>
  <si>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</si>
  <si>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</si>
  <si>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</si>
  <si>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</si>
  <si>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</si>
  <si>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</si>
  <si>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</si>
  <si>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1337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</si>
  <si>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</si>
  <si>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</si>
  <si>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Výměna části oken a vstupních dveří - městský penzion pro důchodce</t>
  </si>
  <si>
    <t>0,1</t>
  </si>
  <si>
    <t>JKSO:</t>
  </si>
  <si>
    <t>CC-CZ:</t>
  </si>
  <si>
    <t>1</t>
  </si>
  <si>
    <t>Místo:</t>
  </si>
  <si>
    <t>Kolín 2, Slovenská čp. 984</t>
  </si>
  <si>
    <t>Datum:</t>
  </si>
  <si>
    <t>08.08.2013</t>
  </si>
  <si>
    <t>10</t>
  </si>
  <si>
    <t>100</t>
  </si>
  <si>
    <t>Objednavatel:</t>
  </si>
  <si>
    <t>IČ:</t>
  </si>
  <si>
    <t>00235440</t>
  </si>
  <si>
    <t>Město Kolín, Karlovo nám. 78, Kolín</t>
  </si>
  <si>
    <t>DIČ:</t>
  </si>
  <si>
    <t>CZ0023235440</t>
  </si>
  <si>
    <t>Zhotovitel:</t>
  </si>
  <si>
    <t>Vyplň údaj</t>
  </si>
  <si>
    <t>Projektant:</t>
  </si>
  <si>
    <t>102541120</t>
  </si>
  <si>
    <t>Ing. Karel Vrátný, Rubešova 60, Kolín</t>
  </si>
  <si>
    <t>CZ531005056</t>
  </si>
  <si>
    <t>True</t>
  </si>
  <si>
    <t>Zpracovatel:</t>
  </si>
  <si>
    <t>Alena Vrátná, Rubešova 60, 280 02 Kolín 1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</si>
  <si>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</si>
  <si>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</si>
  <si>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</si>
  <si>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</si>
  <si>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</si>
  <si>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</si>
  <si>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</si>
  <si>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</si>
  <si>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</si>
  <si>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</si>
  <si>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</si>
  <si>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</si>
  <si>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</si>
  <si>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</si>
  <si>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</si>
  <si>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</si>
  <si>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</si>
  <si>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</si>
  <si>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</si>
  <si>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</si>
  <si>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</si>
  <si>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</si>
  <si>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</si>
  <si>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</si>
  <si>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</si>
  <si>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</si>
  <si>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</si>
  <si>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</si>
  <si>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</si>
  <si>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</si>
  <si>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</si>
  <si>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</si>
  <si>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</si>
  <si>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</si>
  <si>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</si>
  <si>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</si>
  <si>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</si>
  <si>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</si>
  <si>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</si>
  <si>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</si>
  <si>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</si>
  <si>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{C8071179-9A28-49AD-A5EE-A4143202B0C9}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</si>
  <si>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</si>
  <si>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</si>
  <si>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</si>
  <si>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</si>
  <si>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</si>
  <si>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</si>
  <si>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</si>
  <si>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</si>
  <si>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</si>
  <si>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</si>
  <si>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</si>
  <si>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</si>
  <si>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</si>
  <si>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</si>
  <si>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</si>
  <si>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</si>
  <si>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</si>
  <si>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</si>
  <si>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</si>
  <si>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</si>
  <si>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</si>
  <si>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</si>
  <si>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</si>
  <si>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</si>
  <si>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Přesuny hmot a sutí</t>
  </si>
  <si>
    <t>PSV - Práce a dodávky PSV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</si>
  <si>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</si>
  <si>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</si>
  <si>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</si>
  <si>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</si>
  <si>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</si>
  <si>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</si>
  <si>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</si>
  <si>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</si>
  <si>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VRN2 - Příprava staveniště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</si>
  <si>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</si>
  <si>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</si>
  <si>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</si>
  <si>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</si>
  <si>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</si>
  <si>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</si>
  <si>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</si>
  <si>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</si>
  <si>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</si>
  <si>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</si>
  <si>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</si>
  <si>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</si>
  <si>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</si>
  <si>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</si>
  <si>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</si>
  <si>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</si>
  <si>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</si>
  <si>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</si>
  <si>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</si>
  <si>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</si>
  <si>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</si>
  <si>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</si>
  <si>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</si>
  <si>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</si>
  <si>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</si>
  <si>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</si>
  <si>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</si>
  <si>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311272323</t>
  </si>
  <si>
    <t>Zdivo nosné tl 300 mm z pórobetonových přesných hladkých tvárnic Ytong hmotnosti 500 kg/m3</t>
  </si>
  <si>
    <t>m3</t>
  </si>
  <si>
    <t>4</t>
  </si>
  <si>
    <t>0,3*(0,3*2,39*4)+0,3*0,6*(1,49+2,39*3)+0,3*2,4*0,9</t>
  </si>
  <si>
    <t>VV</t>
  </si>
  <si>
    <t>78</t>
  </si>
  <si>
    <t>3422911R1</t>
  </si>
  <si>
    <t>Ukotvení zdiva k cihelným konstrukcím plochými kotvami</t>
  </si>
  <si>
    <t>m</t>
  </si>
  <si>
    <t>2,39*4+1,49+2,39*3+0,9*2</t>
  </si>
  <si>
    <t>42</t>
  </si>
  <si>
    <t>611511015</t>
  </si>
  <si>
    <t>Tenkovrstvá akrylátová zrnitá omítka tl. 1,5 mm včetně penetrace vnitřních schodišťových konstrukcí</t>
  </si>
  <si>
    <t>m2</t>
  </si>
  <si>
    <t>1,22*2,39+0,188*2,39"na OSB</t>
  </si>
  <si>
    <t>40</t>
  </si>
  <si>
    <t>612142001</t>
  </si>
  <si>
    <t>Potažení vnitřních stěn sklovláknitým pletivem vtlačeným do tenkovrstvé hmoty</t>
  </si>
  <si>
    <t>(0,3+0,2)*2,39*4+2,4*0,9+0,8*(1,49+2,39*3)"zdivo Ytong</t>
  </si>
  <si>
    <t>Součet</t>
  </si>
  <si>
    <t>43</t>
  </si>
  <si>
    <t>612322341</t>
  </si>
  <si>
    <t>Vápenocementová lehčená omítka štuková dvouvrstvá vnitřních stěn nanášená strojně</t>
  </si>
  <si>
    <t>53</t>
  </si>
  <si>
    <t>621211001</t>
  </si>
  <si>
    <t>Montáž zateplení vnějších podhledů z polystyrénových desek tl do 40 mm</t>
  </si>
  <si>
    <t>2,39*0,188</t>
  </si>
  <si>
    <t>54</t>
  </si>
  <si>
    <t>M</t>
  </si>
  <si>
    <t>283759310</t>
  </si>
  <si>
    <t>deska fasádní polystyrénová EPS 70 F 1000 x 500 x 30 mm</t>
  </si>
  <si>
    <t>8</t>
  </si>
  <si>
    <t>44</t>
  </si>
  <si>
    <t>622143003</t>
  </si>
  <si>
    <t>Montáž omítkových plastových nebo pozinkovaných rohových profilů</t>
  </si>
  <si>
    <t>2,39+2,39+1,25*2</t>
  </si>
  <si>
    <t>45</t>
  </si>
  <si>
    <t>590514920</t>
  </si>
  <si>
    <t>profil zakončovací s okapničkou a tkaninou 100/150 mm, délka 2 m</t>
  </si>
  <si>
    <t>46</t>
  </si>
  <si>
    <t>590514780</t>
  </si>
  <si>
    <t>lišta profil ochranný rohový PVC délka 2,5 m</t>
  </si>
  <si>
    <t>2,39+1,25*2</t>
  </si>
  <si>
    <t>51</t>
  </si>
  <si>
    <t>622211001</t>
  </si>
  <si>
    <t>Montáž zateplení vnějších stěn z polystyrénových desek tl do 40 mm</t>
  </si>
  <si>
    <t>1,22*2,39</t>
  </si>
  <si>
    <t>52</t>
  </si>
  <si>
    <t>283759430</t>
  </si>
  <si>
    <t>deska fasádní polystyrénová EPS 100 F 1000 x 500 x 30 mm</t>
  </si>
  <si>
    <t>58</t>
  </si>
  <si>
    <t>622321141</t>
  </si>
  <si>
    <t>Vápenocementová omítka štuková dvouvrstvá vnějších stěn nanášená ručně</t>
  </si>
  <si>
    <t>(0,3*0,1)*2,39*4+2,4*0,9+0,7*(1,49+2,39*3)"dozdívky</t>
  </si>
  <si>
    <t>57</t>
  </si>
  <si>
    <t>622323111</t>
  </si>
  <si>
    <t>Vápenocementová omítka hladkých vnějších stěn tloušťky do 5 mm nanášená ručně</t>
  </si>
  <si>
    <t>55</t>
  </si>
  <si>
    <t>622531011</t>
  </si>
  <si>
    <t>Tenkovrstvá silikonová zrnitá omítka tl. 1,5 mm včetně penetrace vnějších stěn</t>
  </si>
  <si>
    <t>2,39*1,25+0,05*2,39"na OSB</t>
  </si>
  <si>
    <t>59</t>
  </si>
  <si>
    <t>629991011</t>
  </si>
  <si>
    <t>Zakrytí výplní otvorů a svislých ploch fólií přilepenou lepící páskou</t>
  </si>
  <si>
    <t>56</t>
  </si>
  <si>
    <t>632450121</t>
  </si>
  <si>
    <t>Vyrovnávací cementový potěr tl do 20 mm ze suchých směsí provedený v pásu</t>
  </si>
  <si>
    <t>1,79*0,3</t>
  </si>
  <si>
    <t>60</t>
  </si>
  <si>
    <t>941111112</t>
  </si>
  <si>
    <t>Montáž lešení řadového trubkového lehkého s podlahami zatížení do 200 kg/m2 š do 0,9 m v do 25 m</t>
  </si>
  <si>
    <t>16</t>
  </si>
  <si>
    <t>2,6*12,6+2,4*11,4</t>
  </si>
  <si>
    <t>61</t>
  </si>
  <si>
    <t>941111212</t>
  </si>
  <si>
    <t>Příplatek k lešení řadovému trubkovému lehkému s podlahami š 0,9 m v 25 m za první a ZKD den použití</t>
  </si>
  <si>
    <t>60,120*30</t>
  </si>
  <si>
    <t>62</t>
  </si>
  <si>
    <t>941111812</t>
  </si>
  <si>
    <t>Demontáž lešení řadového trubkového lehkého s podlahami zatížení do 200 kg/m2 š do 0,9 m v do 25 m</t>
  </si>
  <si>
    <t>63</t>
  </si>
  <si>
    <t>949101111</t>
  </si>
  <si>
    <t>Lešení pomocné pro objekty pozemních staveb s lešeňovou podlahou v do 1,9 m zatížení do 150 kg/m2</t>
  </si>
  <si>
    <t>64</t>
  </si>
  <si>
    <t>94910R001</t>
  </si>
  <si>
    <t xml:space="preserve">Demontáž, úprava + zpětná montáž prosklené stříšky pro lešení </t>
  </si>
  <si>
    <t>3*1+1,1*2,5</t>
  </si>
  <si>
    <t>82</t>
  </si>
  <si>
    <t>9529020R1</t>
  </si>
  <si>
    <t>Čištění staveniště</t>
  </si>
  <si>
    <t>(2,1*1,8+5,8*1,6+4,3*3+2,7*5,8)*4+5,7*2</t>
  </si>
  <si>
    <t>968062375</t>
  </si>
  <si>
    <t>Vybourání dřevěných rámů oken zdvojených včetně křídel pl do 2 m2</t>
  </si>
  <si>
    <t>1,23*1,48</t>
  </si>
  <si>
    <t>3</t>
  </si>
  <si>
    <t>968072355</t>
  </si>
  <si>
    <t>Vybourání kovových rámů oken dvojitých včetně křídel pl do 2 m2</t>
  </si>
  <si>
    <t>1,19*1,19*4</t>
  </si>
  <si>
    <t>968072357</t>
  </si>
  <si>
    <t>Vybourání kovových rámů oken dvojitých včetně křídel pl přes 4 m2</t>
  </si>
  <si>
    <t>2,28*2,55+2,39*3,72*3</t>
  </si>
  <si>
    <t>5</t>
  </si>
  <si>
    <t>968072455</t>
  </si>
  <si>
    <t>Vybourání kovových dveřních zárubní pl do 2 m2</t>
  </si>
  <si>
    <t>0,88*2,17</t>
  </si>
  <si>
    <t>6</t>
  </si>
  <si>
    <t>968072456</t>
  </si>
  <si>
    <t>Vybourání kovových dveřních zárubní pl přes 2 m2</t>
  </si>
  <si>
    <t>2,71*2,55+2,37*2,43+2,38*2,39*4+1,17*2,39*4</t>
  </si>
  <si>
    <t>7</t>
  </si>
  <si>
    <t>997002611</t>
  </si>
  <si>
    <t>Nakládání suti a vybouraných hmot</t>
  </si>
  <si>
    <t>t</t>
  </si>
  <si>
    <t>997013501</t>
  </si>
  <si>
    <t>Odvoz suti na skládku a vybouraných hmot nebo meziskládku do 1 km se složením</t>
  </si>
  <si>
    <t>9</t>
  </si>
  <si>
    <t>997013509</t>
  </si>
  <si>
    <t>Příplatek k odvozu suti a vybouraných hmot na skládku ZKD 1 km přes 1 km - 18*</t>
  </si>
  <si>
    <t>5,522*18</t>
  </si>
  <si>
    <t>997013831</t>
  </si>
  <si>
    <t>Poplatek za uložení stavebního směsného odpadu na skládce (skládkovné)</t>
  </si>
  <si>
    <t>11</t>
  </si>
  <si>
    <t>998011003</t>
  </si>
  <si>
    <t>Přesun hmot pro budovy zděné v do 24 m</t>
  </si>
  <si>
    <t>65</t>
  </si>
  <si>
    <t>713131141</t>
  </si>
  <si>
    <t>Montáž izolace tepelné stěn a základů lepením celoplošně rohoží, pásů, dílců, desek</t>
  </si>
  <si>
    <t>2,39*1,25"polystyren</t>
  </si>
  <si>
    <t>66</t>
  </si>
  <si>
    <t>283759500</t>
  </si>
  <si>
    <t>deska fasádní polystyrénová EPS 100 F 1000 x 500 x 100 mm</t>
  </si>
  <si>
    <t>32</t>
  </si>
  <si>
    <t>67</t>
  </si>
  <si>
    <t>713131151</t>
  </si>
  <si>
    <t>Montáž izolace tepelné stěn a základů volně vloženými rohožemi, pásy, dílci, deskami 1 vrstva</t>
  </si>
  <si>
    <t>2,03*1,194</t>
  </si>
  <si>
    <t>68</t>
  </si>
  <si>
    <t>631514</t>
  </si>
  <si>
    <t>minerální vata tl. 130 mm</t>
  </si>
  <si>
    <t>69</t>
  </si>
  <si>
    <t>998713203</t>
  </si>
  <si>
    <t>Přesun hmot procentní pro izolace tepelné v objektech v do 24 m</t>
  </si>
  <si>
    <t>%</t>
  </si>
  <si>
    <t>12</t>
  </si>
  <si>
    <t>762083121</t>
  </si>
  <si>
    <t>Impregnace řeziva proti dřevokaznému hmyzu, houbám a plísním máčením třída ohrožení 1 a 2</t>
  </si>
  <si>
    <t>0,13*0,12*(2,39*2+1,01*3)</t>
  </si>
  <si>
    <t>13</t>
  </si>
  <si>
    <t>762112120</t>
  </si>
  <si>
    <t>Montáž tesařských stěn na hladko z hraněného řeziva průřezové plochy do 224 cm2-adekv. pol. rám zmenšení okna</t>
  </si>
  <si>
    <t>2,39*2+1,01*3</t>
  </si>
  <si>
    <t>14</t>
  </si>
  <si>
    <t>605121110</t>
  </si>
  <si>
    <t>řezivo jehličnaté hranol jakost I-II délka 2 - 3,5 m</t>
  </si>
  <si>
    <t>7,810*0,12*0,13*1,1</t>
  </si>
  <si>
    <t>762195000</t>
  </si>
  <si>
    <t>Spojovací prostředky pro montáž stěn, příček, bednění stěn</t>
  </si>
  <si>
    <t>762431012</t>
  </si>
  <si>
    <t>Obložení stěn z desek OSB tl 12 mm na sraz přibíjených</t>
  </si>
  <si>
    <t>1,22*2,39*2</t>
  </si>
  <si>
    <t>17</t>
  </si>
  <si>
    <t>762495000</t>
  </si>
  <si>
    <t>Spojovací prostředky pro montáž olištování, obložení stropů, střešních podhledů a stěn</t>
  </si>
  <si>
    <t>18</t>
  </si>
  <si>
    <t>998762203</t>
  </si>
  <si>
    <t>Přesun hmot procentní pro kce tesařské v objektech v do 24 m</t>
  </si>
  <si>
    <t>84</t>
  </si>
  <si>
    <t>764410230</t>
  </si>
  <si>
    <t>Oplechování parapetů Pz rš 200 mm včetně rohů</t>
  </si>
  <si>
    <t>70</t>
  </si>
  <si>
    <t>764410850</t>
  </si>
  <si>
    <t>Demontáž oplechování parapetu rš do 330 mm</t>
  </si>
  <si>
    <t>2,38*4+1,17*4+1,19*4+1,23*4</t>
  </si>
  <si>
    <t>72</t>
  </si>
  <si>
    <t>998764203</t>
  </si>
  <si>
    <t>Přesun hmot procentní pro konstrukce klempířské v objektech v do 24 m</t>
  </si>
  <si>
    <t>19</t>
  </si>
  <si>
    <t>766621311</t>
  </si>
  <si>
    <t>Montáž oken zdvojených kyvných výšky do 1,5m s rámem do zdiva</t>
  </si>
  <si>
    <t>1,79*1,49*1+1,23*1,48*4+1,19*1,19*4</t>
  </si>
  <si>
    <t>20</t>
  </si>
  <si>
    <t>766621312</t>
  </si>
  <si>
    <t>Montáž oken zdvojených kyvných výšky přes 1,5 do 2,5m s rámem do zdiva</t>
  </si>
  <si>
    <t>2,82*2,55+2,39*2,46*3</t>
  </si>
  <si>
    <t>611400100</t>
  </si>
  <si>
    <t>okno plastové jednokřídlé otvíravé pravé 119 x 119 cm</t>
  </si>
  <si>
    <t>kus</t>
  </si>
  <si>
    <t>22</t>
  </si>
  <si>
    <t>611400111</t>
  </si>
  <si>
    <t>okno plastové čtyřdílné se sloupkem, izol. dvousklo, 282/255 cm</t>
  </si>
  <si>
    <t>23</t>
  </si>
  <si>
    <t>6114002</t>
  </si>
  <si>
    <t>okno plastové dvoukřídlé otvíravé +otvíravé a vyklápěcí 123 x 148 cm</t>
  </si>
  <si>
    <t>24</t>
  </si>
  <si>
    <t>61140030</t>
  </si>
  <si>
    <t>okno plastové dvoukřídlé otvíravé +otvíravé a vyklápěcí 179 x 149 cm</t>
  </si>
  <si>
    <t>25</t>
  </si>
  <si>
    <t>611400350</t>
  </si>
  <si>
    <t>okno plastové otvíravé čtyř dílné se sloupkem, okapnička na spodní hraně 239x246cm</t>
  </si>
  <si>
    <t>26</t>
  </si>
  <si>
    <t>76662171R</t>
  </si>
  <si>
    <t>Dodávka + montáž komprimační páska KX300 vně oken proti přívalovému dešti min. 600 Pa</t>
  </si>
  <si>
    <t>2,71+2,55*2+2,82+2,55*2+2,37+2,43*2+1,79*2+1,49*2</t>
  </si>
  <si>
    <t>1,23*2*4+1,48*2*4+1,79*2*3+2,39*2*3+1,19*4*4+0,89*2*4+2,39*2*4</t>
  </si>
  <si>
    <t>2,398*2*3+2,46*2*3+0,88+2,17*2</t>
  </si>
  <si>
    <t>27</t>
  </si>
  <si>
    <t>7666217R2</t>
  </si>
  <si>
    <t>Dodávka + montáž vnitřní parotěsné pásky</t>
  </si>
  <si>
    <t>28</t>
  </si>
  <si>
    <t>76662R001</t>
  </si>
  <si>
    <t>Dodávka + montáž balkon. dveře plast, izol dvousklo, 178/239 cm, dvoukřídlé</t>
  </si>
  <si>
    <t>29</t>
  </si>
  <si>
    <t>76662R002</t>
  </si>
  <si>
    <t>Dodávka + montáž vstupní dveře plast, dvoukřídlové, izol. dvousklo, 237/243, kování</t>
  </si>
  <si>
    <t>30</t>
  </si>
  <si>
    <t>76662R003</t>
  </si>
  <si>
    <t xml:space="preserve">Dodávka + montáž vstupní dveře plastové,izolační dvousklo, samozavírač, 271/255 cm </t>
  </si>
  <si>
    <t>31</t>
  </si>
  <si>
    <t>76666R001</t>
  </si>
  <si>
    <t xml:space="preserve">D+M balkonové dveře plastové, izolační dvojsklo 89/239 cm,  kování </t>
  </si>
  <si>
    <t>76666R002</t>
  </si>
  <si>
    <t xml:space="preserve">Dodávka + montáž plastových dveří, izol. dvojsklo, 88/217 cm, kování </t>
  </si>
  <si>
    <t>33</t>
  </si>
  <si>
    <t>766691912</t>
  </si>
  <si>
    <t>Vyvěšení nebo zavěšení dřevěných křídel oken pl přes 1,5 m2</t>
  </si>
  <si>
    <t>34</t>
  </si>
  <si>
    <t>766691914</t>
  </si>
  <si>
    <t>Vyvěšení nebo zavěšení dřevěných křídel dveří pl do 2 m2</t>
  </si>
  <si>
    <t>73</t>
  </si>
  <si>
    <t>766694112</t>
  </si>
  <si>
    <t>Montáž parapetních desek dřevěných, laminovaných šířky do 30 cm délky do 1,6 m</t>
  </si>
  <si>
    <t>74</t>
  </si>
  <si>
    <t>607941000</t>
  </si>
  <si>
    <t>deska parapetní dřevotřísková vnitřní POSTFORMING 0,15 x 1 m</t>
  </si>
  <si>
    <t>1,79+1,23*4</t>
  </si>
  <si>
    <t>75</t>
  </si>
  <si>
    <t>607941210</t>
  </si>
  <si>
    <t>koncovka PVC k parapetním deskám 600 mm</t>
  </si>
  <si>
    <t>35</t>
  </si>
  <si>
    <t>998766203</t>
  </si>
  <si>
    <t>Přesun hmot procentní pro konstrukce truhlářské v objektech v do 24 m</t>
  </si>
  <si>
    <t>76</t>
  </si>
  <si>
    <t>767161813</t>
  </si>
  <si>
    <t>Demontáž zábradlí rovného nerozebíratelného hmotnosti 1m zábradlí do 20 kg</t>
  </si>
  <si>
    <t>2,82+2,39*4+1,17*4+2,39</t>
  </si>
  <si>
    <t>77</t>
  </si>
  <si>
    <t>76716R001</t>
  </si>
  <si>
    <t>D+M zábradlí tr. 51/3,2, dl. 93,28 m, úchyty do zdiva, nátěr</t>
  </si>
  <si>
    <t>kg</t>
  </si>
  <si>
    <t>36</t>
  </si>
  <si>
    <t>767691812</t>
  </si>
  <si>
    <t>Vyvěšení nebo zavěšení kovových křídel oken do 1,5 m2</t>
  </si>
  <si>
    <t>37</t>
  </si>
  <si>
    <t>767691813</t>
  </si>
  <si>
    <t>Vyvěšení nebo zavěšení kovových křídel oken přes 1,5 m2</t>
  </si>
  <si>
    <t>38</t>
  </si>
  <si>
    <t>767691823</t>
  </si>
  <si>
    <t>Vyvěšení nebo zavěšení kovových křídel dveří přes 2 m2</t>
  </si>
  <si>
    <t>81</t>
  </si>
  <si>
    <t>998767203</t>
  </si>
  <si>
    <t>Přesun hmot procentní pro zámečnické konstrukce v objektech v do 24 m</t>
  </si>
  <si>
    <t>83</t>
  </si>
  <si>
    <t>783522221</t>
  </si>
  <si>
    <t>Nátěry syntetické klempířských kcí barva dražší matný povrch 1x reaktivní, 1x základní, 1x email</t>
  </si>
  <si>
    <t>22*0,2</t>
  </si>
  <si>
    <t>79</t>
  </si>
  <si>
    <t>784211001</t>
  </si>
  <si>
    <t>Jednonásobné bílé malby ze směsí za mokra výborně otěruvzdorných v místnostech výšky do 3,80 m</t>
  </si>
  <si>
    <t>2,55*(1,7*2+3,5+4,6)*4</t>
  </si>
  <si>
    <t>80</t>
  </si>
  <si>
    <t>02000R001</t>
  </si>
  <si>
    <t>Zábor prostranství</t>
  </si>
  <si>
    <t>soubor</t>
  </si>
  <si>
    <t>1024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</si>
  <si>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</si>
  <si>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</si>
  <si>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</si>
  <si>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</si>
  <si>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</si>
  <si>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</si>
  <si>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</si>
  <si>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</si>
  <si>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</si>
  <si>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VARIANTA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</si>
</sst>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2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0" borderId="33" xfId="0" applyNumberFormat="1" applyFont="1" applyBorder="1" applyAlignment="1">
      <alignment horizontal="righ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71" fillId="33" borderId="0" xfId="36" applyFont="1" applyFill="1" applyAlignment="1" applyProtection="1">
      <alignment horizontal="center" vertical="center"/>
      <protection/>
    </xf>
    <xf numFmtId="164" fontId="23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164" fontId="31" fillId="34" borderId="33" xfId="0" applyNumberFormat="1" applyFont="1" applyFill="1" applyBorder="1" applyAlignment="1">
      <alignment horizontal="right" vertical="center"/>
    </xf>
    <xf numFmtId="164" fontId="31" fillId="0" borderId="33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35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580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4BE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580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4BE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A9" sqref="AA9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2" t="s">
        <v>0</v>
      </c>
      <c r="B1" s="153"/>
      <c r="C1" s="153"/>
      <c r="D1" s="154" t="s">
        <v>1</v>
      </c>
      <c r="E1" s="153"/>
      <c r="F1" s="153"/>
      <c r="G1" s="153"/>
      <c r="H1" s="153"/>
      <c r="I1" s="153"/>
      <c r="J1" s="153"/>
      <c r="K1" s="155" t="s">
        <v>424</v>
      </c>
      <c r="L1" s="155"/>
      <c r="M1" s="155"/>
      <c r="N1" s="155"/>
      <c r="O1" s="155"/>
      <c r="P1" s="155"/>
      <c r="Q1" s="155"/>
      <c r="R1" s="155"/>
      <c r="S1" s="155"/>
      <c r="T1" s="153"/>
      <c r="U1" s="153"/>
      <c r="V1" s="153"/>
      <c r="W1" s="155" t="s">
        <v>425</v>
      </c>
      <c r="X1" s="155"/>
      <c r="Y1" s="155"/>
      <c r="Z1" s="155"/>
      <c r="AA1" s="155"/>
      <c r="AB1" s="155"/>
      <c r="AC1" s="155"/>
      <c r="AD1" s="155"/>
      <c r="AE1" s="155"/>
      <c r="AF1" s="155"/>
      <c r="AG1" s="153"/>
      <c r="AH1" s="153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86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R2" s="159" t="s">
        <v>5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77" t="s">
        <v>9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79" t="s">
        <v>431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Q5" s="11"/>
      <c r="BE5" s="187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88" t="s">
        <v>17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Q6" s="11"/>
      <c r="BE6" s="160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60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60"/>
      <c r="BS8" s="6" t="s">
        <v>26</v>
      </c>
    </row>
    <row r="9" spans="2:71" s="2" customFormat="1" ht="15" customHeight="1">
      <c r="B9" s="10"/>
      <c r="AQ9" s="11"/>
      <c r="BE9" s="160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 t="s">
        <v>30</v>
      </c>
      <c r="AQ10" s="11"/>
      <c r="BE10" s="160"/>
      <c r="BS10" s="6" t="s">
        <v>18</v>
      </c>
    </row>
    <row r="11" spans="2:71" s="2" customFormat="1" ht="19.5" customHeight="1">
      <c r="B11" s="10"/>
      <c r="E11" s="15" t="s">
        <v>31</v>
      </c>
      <c r="AK11" s="17" t="s">
        <v>32</v>
      </c>
      <c r="AN11" s="15" t="s">
        <v>33</v>
      </c>
      <c r="AQ11" s="11"/>
      <c r="BE11" s="160"/>
      <c r="BS11" s="6" t="s">
        <v>18</v>
      </c>
    </row>
    <row r="12" spans="2:71" s="2" customFormat="1" ht="7.5" customHeight="1">
      <c r="B12" s="10"/>
      <c r="AQ12" s="11"/>
      <c r="BE12" s="160"/>
      <c r="BS12" s="6" t="s">
        <v>18</v>
      </c>
    </row>
    <row r="13" spans="2:71" s="2" customFormat="1" ht="15" customHeight="1">
      <c r="B13" s="10"/>
      <c r="D13" s="17" t="s">
        <v>34</v>
      </c>
      <c r="AK13" s="17" t="s">
        <v>29</v>
      </c>
      <c r="AN13" s="19" t="s">
        <v>35</v>
      </c>
      <c r="AQ13" s="11"/>
      <c r="BE13" s="160"/>
      <c r="BS13" s="6" t="s">
        <v>18</v>
      </c>
    </row>
    <row r="14" spans="2:71" s="2" customFormat="1" ht="15.75" customHeight="1">
      <c r="B14" s="10"/>
      <c r="E14" s="189" t="s">
        <v>35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7" t="s">
        <v>32</v>
      </c>
      <c r="AN14" s="19" t="s">
        <v>35</v>
      </c>
      <c r="AQ14" s="11"/>
      <c r="BE14" s="160"/>
      <c r="BS14" s="6" t="s">
        <v>18</v>
      </c>
    </row>
    <row r="15" spans="2:71" s="2" customFormat="1" ht="7.5" customHeight="1">
      <c r="B15" s="10"/>
      <c r="AQ15" s="11"/>
      <c r="BE15" s="160"/>
      <c r="BS15" s="6" t="s">
        <v>3</v>
      </c>
    </row>
    <row r="16" spans="2:71" s="2" customFormat="1" ht="15" customHeight="1">
      <c r="B16" s="10"/>
      <c r="D16" s="17" t="s">
        <v>36</v>
      </c>
      <c r="AK16" s="17" t="s">
        <v>29</v>
      </c>
      <c r="AN16" s="15" t="s">
        <v>37</v>
      </c>
      <c r="AQ16" s="11"/>
      <c r="BE16" s="160"/>
      <c r="BS16" s="6" t="s">
        <v>3</v>
      </c>
    </row>
    <row r="17" spans="2:71" s="2" customFormat="1" ht="19.5" customHeight="1">
      <c r="B17" s="10"/>
      <c r="E17" s="15" t="s">
        <v>38</v>
      </c>
      <c r="AK17" s="17" t="s">
        <v>32</v>
      </c>
      <c r="AN17" s="15" t="s">
        <v>39</v>
      </c>
      <c r="AQ17" s="11"/>
      <c r="BE17" s="160"/>
      <c r="BS17" s="6" t="s">
        <v>40</v>
      </c>
    </row>
    <row r="18" spans="2:71" s="2" customFormat="1" ht="7.5" customHeight="1">
      <c r="B18" s="10"/>
      <c r="AQ18" s="11"/>
      <c r="BE18" s="160"/>
      <c r="BS18" s="6" t="s">
        <v>6</v>
      </c>
    </row>
    <row r="19" spans="2:71" s="2" customFormat="1" ht="15" customHeight="1">
      <c r="B19" s="10"/>
      <c r="D19" s="17" t="s">
        <v>41</v>
      </c>
      <c r="AK19" s="17" t="s">
        <v>29</v>
      </c>
      <c r="AN19" s="15"/>
      <c r="AQ19" s="11"/>
      <c r="BE19" s="160"/>
      <c r="BS19" s="6" t="s">
        <v>18</v>
      </c>
    </row>
    <row r="20" spans="2:57" s="2" customFormat="1" ht="19.5" customHeight="1">
      <c r="B20" s="10"/>
      <c r="E20" s="15" t="s">
        <v>42</v>
      </c>
      <c r="AK20" s="17" t="s">
        <v>32</v>
      </c>
      <c r="AN20" s="15"/>
      <c r="AQ20" s="11"/>
      <c r="BE20" s="160"/>
    </row>
    <row r="21" spans="2:57" s="2" customFormat="1" ht="7.5" customHeight="1">
      <c r="B21" s="10"/>
      <c r="AQ21" s="11"/>
      <c r="BE21" s="160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60"/>
    </row>
    <row r="23" spans="2:57" s="2" customFormat="1" ht="15" customHeight="1">
      <c r="B23" s="10"/>
      <c r="D23" s="21" t="s">
        <v>43</v>
      </c>
      <c r="AK23" s="190">
        <f>ROUNDUP($AG$87,2)</f>
        <v>0</v>
      </c>
      <c r="AL23" s="160"/>
      <c r="AM23" s="160"/>
      <c r="AN23" s="160"/>
      <c r="AO23" s="160"/>
      <c r="AQ23" s="11"/>
      <c r="BE23" s="160"/>
    </row>
    <row r="24" spans="2:57" s="2" customFormat="1" ht="15" customHeight="1">
      <c r="B24" s="10"/>
      <c r="D24" s="21" t="s">
        <v>44</v>
      </c>
      <c r="AK24" s="190">
        <f>ROUNDUP($AG$90,2)</f>
        <v>0</v>
      </c>
      <c r="AL24" s="160"/>
      <c r="AM24" s="160"/>
      <c r="AN24" s="160"/>
      <c r="AO24" s="160"/>
      <c r="AQ24" s="11"/>
      <c r="BE24" s="160"/>
    </row>
    <row r="25" spans="2:57" s="6" customFormat="1" ht="7.5" customHeight="1">
      <c r="B25" s="22"/>
      <c r="AQ25" s="23"/>
      <c r="BE25" s="162"/>
    </row>
    <row r="26" spans="2:57" s="6" customFormat="1" ht="27" customHeight="1">
      <c r="B26" s="22"/>
      <c r="D26" s="24" t="s">
        <v>45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1">
        <f>ROUNDUP($AK$23+$AK$24,2)</f>
        <v>0</v>
      </c>
      <c r="AL26" s="192"/>
      <c r="AM26" s="192"/>
      <c r="AN26" s="192"/>
      <c r="AO26" s="192"/>
      <c r="AQ26" s="23"/>
      <c r="BE26" s="162"/>
    </row>
    <row r="27" spans="2:57" s="6" customFormat="1" ht="7.5" customHeight="1">
      <c r="B27" s="22"/>
      <c r="AQ27" s="23"/>
      <c r="BE27" s="162"/>
    </row>
    <row r="28" spans="2:57" s="6" customFormat="1" ht="15" customHeight="1">
      <c r="B28" s="26"/>
      <c r="D28" s="27" t="s">
        <v>46</v>
      </c>
      <c r="F28" s="27" t="s">
        <v>47</v>
      </c>
      <c r="L28" s="183">
        <v>0.21</v>
      </c>
      <c r="M28" s="184"/>
      <c r="N28" s="184"/>
      <c r="O28" s="184"/>
      <c r="T28" s="29" t="s">
        <v>48</v>
      </c>
      <c r="W28" s="185">
        <f>ROUNDUP($AZ$87+SUM($CD$91:$CD$95),2)</f>
        <v>0</v>
      </c>
      <c r="X28" s="184"/>
      <c r="Y28" s="184"/>
      <c r="Z28" s="184"/>
      <c r="AA28" s="184"/>
      <c r="AB28" s="184"/>
      <c r="AC28" s="184"/>
      <c r="AD28" s="184"/>
      <c r="AE28" s="184"/>
      <c r="AK28" s="185">
        <f>ROUNDUP($AV$87+SUM($BY$91:$BY$95),1)</f>
        <v>0</v>
      </c>
      <c r="AL28" s="184"/>
      <c r="AM28" s="184"/>
      <c r="AN28" s="184"/>
      <c r="AO28" s="184"/>
      <c r="AQ28" s="30"/>
      <c r="BE28" s="184"/>
    </row>
    <row r="29" spans="2:57" s="6" customFormat="1" ht="15" customHeight="1">
      <c r="B29" s="26"/>
      <c r="F29" s="27" t="s">
        <v>49</v>
      </c>
      <c r="L29" s="183">
        <v>0.15</v>
      </c>
      <c r="M29" s="184"/>
      <c r="N29" s="184"/>
      <c r="O29" s="184"/>
      <c r="T29" s="29" t="s">
        <v>48</v>
      </c>
      <c r="W29" s="185">
        <f>ROUNDUP($BA$87+SUM($CE$91:$CE$95),2)</f>
        <v>0</v>
      </c>
      <c r="X29" s="184"/>
      <c r="Y29" s="184"/>
      <c r="Z29" s="184"/>
      <c r="AA29" s="184"/>
      <c r="AB29" s="184"/>
      <c r="AC29" s="184"/>
      <c r="AD29" s="184"/>
      <c r="AE29" s="184"/>
      <c r="AK29" s="185">
        <f>ROUNDUP($AW$87+SUM($BZ$91:$BZ$95),1)</f>
        <v>0</v>
      </c>
      <c r="AL29" s="184"/>
      <c r="AM29" s="184"/>
      <c r="AN29" s="184"/>
      <c r="AO29" s="184"/>
      <c r="AQ29" s="30"/>
      <c r="BE29" s="184"/>
    </row>
    <row r="30" spans="2:57" s="6" customFormat="1" ht="15" customHeight="1" hidden="1">
      <c r="B30" s="26"/>
      <c r="F30" s="27" t="s">
        <v>50</v>
      </c>
      <c r="L30" s="183">
        <v>0.21</v>
      </c>
      <c r="M30" s="184"/>
      <c r="N30" s="184"/>
      <c r="O30" s="184"/>
      <c r="T30" s="29" t="s">
        <v>48</v>
      </c>
      <c r="W30" s="185">
        <f>ROUNDUP($BB$87+SUM($CF$91:$CF$95),2)</f>
        <v>0</v>
      </c>
      <c r="X30" s="184"/>
      <c r="Y30" s="184"/>
      <c r="Z30" s="184"/>
      <c r="AA30" s="184"/>
      <c r="AB30" s="184"/>
      <c r="AC30" s="184"/>
      <c r="AD30" s="184"/>
      <c r="AE30" s="184"/>
      <c r="AK30" s="185">
        <v>0</v>
      </c>
      <c r="AL30" s="184"/>
      <c r="AM30" s="184"/>
      <c r="AN30" s="184"/>
      <c r="AO30" s="184"/>
      <c r="AQ30" s="30"/>
      <c r="BE30" s="184"/>
    </row>
    <row r="31" spans="2:57" s="6" customFormat="1" ht="15" customHeight="1" hidden="1">
      <c r="B31" s="26"/>
      <c r="F31" s="27" t="s">
        <v>51</v>
      </c>
      <c r="L31" s="183">
        <v>0.15</v>
      </c>
      <c r="M31" s="184"/>
      <c r="N31" s="184"/>
      <c r="O31" s="184"/>
      <c r="T31" s="29" t="s">
        <v>48</v>
      </c>
      <c r="W31" s="185">
        <f>ROUNDUP($BC$87+SUM($CG$91:$CG$95),2)</f>
        <v>0</v>
      </c>
      <c r="X31" s="184"/>
      <c r="Y31" s="184"/>
      <c r="Z31" s="184"/>
      <c r="AA31" s="184"/>
      <c r="AB31" s="184"/>
      <c r="AC31" s="184"/>
      <c r="AD31" s="184"/>
      <c r="AE31" s="184"/>
      <c r="AK31" s="185">
        <v>0</v>
      </c>
      <c r="AL31" s="184"/>
      <c r="AM31" s="184"/>
      <c r="AN31" s="184"/>
      <c r="AO31" s="184"/>
      <c r="AQ31" s="30"/>
      <c r="BE31" s="184"/>
    </row>
    <row r="32" spans="2:57" s="6" customFormat="1" ht="15" customHeight="1" hidden="1">
      <c r="B32" s="26"/>
      <c r="F32" s="27" t="s">
        <v>52</v>
      </c>
      <c r="L32" s="183">
        <v>0</v>
      </c>
      <c r="M32" s="184"/>
      <c r="N32" s="184"/>
      <c r="O32" s="184"/>
      <c r="T32" s="29" t="s">
        <v>48</v>
      </c>
      <c r="W32" s="185">
        <f>ROUNDUP($BD$87+SUM($CH$91:$CH$95),2)</f>
        <v>0</v>
      </c>
      <c r="X32" s="184"/>
      <c r="Y32" s="184"/>
      <c r="Z32" s="184"/>
      <c r="AA32" s="184"/>
      <c r="AB32" s="184"/>
      <c r="AC32" s="184"/>
      <c r="AD32" s="184"/>
      <c r="AE32" s="184"/>
      <c r="AK32" s="185">
        <v>0</v>
      </c>
      <c r="AL32" s="184"/>
      <c r="AM32" s="184"/>
      <c r="AN32" s="184"/>
      <c r="AO32" s="184"/>
      <c r="AQ32" s="30"/>
      <c r="BE32" s="184"/>
    </row>
    <row r="33" spans="2:57" s="6" customFormat="1" ht="7.5" customHeight="1">
      <c r="B33" s="22"/>
      <c r="AQ33" s="23"/>
      <c r="BE33" s="162"/>
    </row>
    <row r="34" spans="2:57" s="6" customFormat="1" ht="27" customHeight="1">
      <c r="B34" s="22"/>
      <c r="C34" s="31"/>
      <c r="D34" s="32" t="s">
        <v>53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54</v>
      </c>
      <c r="U34" s="33"/>
      <c r="V34" s="33"/>
      <c r="W34" s="33"/>
      <c r="X34" s="175" t="s">
        <v>55</v>
      </c>
      <c r="Y34" s="168"/>
      <c r="Z34" s="168"/>
      <c r="AA34" s="168"/>
      <c r="AB34" s="168"/>
      <c r="AC34" s="33"/>
      <c r="AD34" s="33"/>
      <c r="AE34" s="33"/>
      <c r="AF34" s="33"/>
      <c r="AG34" s="33"/>
      <c r="AH34" s="33"/>
      <c r="AI34" s="33"/>
      <c r="AJ34" s="33"/>
      <c r="AK34" s="176">
        <f>ROUNDUP(SUM($AK$26:$AK$32),2)</f>
        <v>0</v>
      </c>
      <c r="AL34" s="168"/>
      <c r="AM34" s="168"/>
      <c r="AN34" s="168"/>
      <c r="AO34" s="170"/>
      <c r="AP34" s="31"/>
      <c r="AQ34" s="23"/>
      <c r="BE34" s="162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57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59</v>
      </c>
      <c r="S58" s="41"/>
      <c r="T58" s="41"/>
      <c r="U58" s="41"/>
      <c r="V58" s="41"/>
      <c r="W58" s="41"/>
      <c r="X58" s="41"/>
      <c r="Y58" s="41"/>
      <c r="Z58" s="43"/>
      <c r="AC58" s="40" t="s">
        <v>58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59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60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61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58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59</v>
      </c>
      <c r="S69" s="41"/>
      <c r="T69" s="41"/>
      <c r="U69" s="41"/>
      <c r="V69" s="41"/>
      <c r="W69" s="41"/>
      <c r="X69" s="41"/>
      <c r="Y69" s="41"/>
      <c r="Z69" s="43"/>
      <c r="AC69" s="40" t="s">
        <v>58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59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77" t="s">
        <v>62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23"/>
    </row>
    <row r="77" spans="2:43" s="15" customFormat="1" ht="15" customHeight="1">
      <c r="B77" s="50"/>
      <c r="C77" s="17" t="s">
        <v>13</v>
      </c>
      <c r="L77" s="15" t="str">
        <f>$K$5</f>
        <v>VARIANTA 2</v>
      </c>
      <c r="AQ77" s="51"/>
    </row>
    <row r="78" spans="2:43" s="52" customFormat="1" ht="37.5" customHeight="1">
      <c r="B78" s="53"/>
      <c r="C78" s="52" t="s">
        <v>16</v>
      </c>
      <c r="L78" s="178" t="str">
        <f>$K$6</f>
        <v>Výměna části oken a vstupních dveří - městský penzion pro důchodce</v>
      </c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Kolín 2, Slovenská čp. 984</v>
      </c>
      <c r="AI80" s="17" t="s">
        <v>24</v>
      </c>
      <c r="AM80" s="56" t="str">
        <f>IF($AN$8="","",$AN$8)</f>
        <v>08.08.2013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Město Kolín, Karlovo nám. 78, Kolín</v>
      </c>
      <c r="AI82" s="17" t="s">
        <v>36</v>
      </c>
      <c r="AM82" s="179" t="str">
        <f>IF($E$17="","",$E$17)</f>
        <v>Ing. Karel Vrátný, Rubešova 60, Kolín</v>
      </c>
      <c r="AN82" s="162"/>
      <c r="AO82" s="162"/>
      <c r="AP82" s="162"/>
      <c r="AQ82" s="23"/>
      <c r="AS82" s="180" t="s">
        <v>63</v>
      </c>
      <c r="AT82" s="181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34</v>
      </c>
      <c r="L83" s="15">
        <f>IF($E$14="Vyplň údaj","",$E$14)</f>
      </c>
      <c r="AI83" s="17" t="s">
        <v>41</v>
      </c>
      <c r="AM83" s="179" t="str">
        <f>IF($E$20="","",$E$20)</f>
        <v>Alena Vrátná, Rubešova 60, 280 02 Kolín 1</v>
      </c>
      <c r="AN83" s="162"/>
      <c r="AO83" s="162"/>
      <c r="AP83" s="162"/>
      <c r="AQ83" s="23"/>
      <c r="AS83" s="182"/>
      <c r="AT83" s="162"/>
      <c r="BD83" s="58"/>
    </row>
    <row r="84" spans="2:56" s="6" customFormat="1" ht="12" customHeight="1">
      <c r="B84" s="22"/>
      <c r="AQ84" s="23"/>
      <c r="AS84" s="182"/>
      <c r="AT84" s="162"/>
      <c r="BD84" s="58"/>
    </row>
    <row r="85" spans="2:57" s="6" customFormat="1" ht="30" customHeight="1">
      <c r="B85" s="22"/>
      <c r="C85" s="167" t="s">
        <v>64</v>
      </c>
      <c r="D85" s="168"/>
      <c r="E85" s="168"/>
      <c r="F85" s="168"/>
      <c r="G85" s="168"/>
      <c r="H85" s="33"/>
      <c r="I85" s="169" t="s">
        <v>65</v>
      </c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9" t="s">
        <v>66</v>
      </c>
      <c r="AH85" s="168"/>
      <c r="AI85" s="168"/>
      <c r="AJ85" s="168"/>
      <c r="AK85" s="168"/>
      <c r="AL85" s="168"/>
      <c r="AM85" s="168"/>
      <c r="AN85" s="169" t="s">
        <v>67</v>
      </c>
      <c r="AO85" s="168"/>
      <c r="AP85" s="170"/>
      <c r="AQ85" s="23"/>
      <c r="AS85" s="59" t="s">
        <v>68</v>
      </c>
      <c r="AT85" s="60" t="s">
        <v>69</v>
      </c>
      <c r="AU85" s="60" t="s">
        <v>70</v>
      </c>
      <c r="AV85" s="60" t="s">
        <v>71</v>
      </c>
      <c r="AW85" s="60" t="s">
        <v>72</v>
      </c>
      <c r="AX85" s="60" t="s">
        <v>73</v>
      </c>
      <c r="AY85" s="60" t="s">
        <v>74</v>
      </c>
      <c r="AZ85" s="60" t="s">
        <v>75</v>
      </c>
      <c r="BA85" s="60" t="s">
        <v>76</v>
      </c>
      <c r="BB85" s="60" t="s">
        <v>77</v>
      </c>
      <c r="BC85" s="60" t="s">
        <v>78</v>
      </c>
      <c r="BD85" s="61" t="s">
        <v>79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80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65">
        <f>ROUNDUP($AG$88,2)</f>
        <v>0</v>
      </c>
      <c r="AH87" s="166"/>
      <c r="AI87" s="166"/>
      <c r="AJ87" s="166"/>
      <c r="AK87" s="166"/>
      <c r="AL87" s="166"/>
      <c r="AM87" s="166"/>
      <c r="AN87" s="165">
        <f>ROUNDUP(SUM($AG$87,$AT$87),2)</f>
        <v>0</v>
      </c>
      <c r="AO87" s="166"/>
      <c r="AP87" s="166"/>
      <c r="AQ87" s="54"/>
      <c r="AS87" s="65">
        <f>ROUNDUP($AS$88,2)</f>
        <v>0</v>
      </c>
      <c r="AT87" s="66">
        <f>ROUNDUP(SUM($AV$87:$AW$87),1)</f>
        <v>0</v>
      </c>
      <c r="AU87" s="67">
        <f>ROUNDUP($AU$88,5)</f>
        <v>571.71763</v>
      </c>
      <c r="AV87" s="66">
        <f>ROUNDUP($AZ$87*$L$28,2)</f>
        <v>0</v>
      </c>
      <c r="AW87" s="66">
        <f>ROUNDUP($BA$87*$L$29,2)</f>
        <v>0</v>
      </c>
      <c r="AX87" s="66">
        <f>ROUNDUP($BB$87*$L$28,2)</f>
        <v>0</v>
      </c>
      <c r="AY87" s="66">
        <f>ROUNDUP($BC$87*$L$29,2)</f>
        <v>0</v>
      </c>
      <c r="AZ87" s="66">
        <f>ROUNDUP($AZ$88,2)</f>
        <v>0</v>
      </c>
      <c r="BA87" s="66">
        <f>ROUNDUP($BA$88,2)</f>
        <v>0</v>
      </c>
      <c r="BB87" s="66">
        <f>ROUNDUP($BB$88,2)</f>
        <v>0</v>
      </c>
      <c r="BC87" s="66">
        <f>ROUNDUP($BC$88,2)</f>
        <v>0</v>
      </c>
      <c r="BD87" s="68">
        <f>ROUNDUP($BD$88,2)</f>
        <v>0</v>
      </c>
      <c r="BS87" s="52" t="s">
        <v>81</v>
      </c>
      <c r="BT87" s="52" t="s">
        <v>82</v>
      </c>
      <c r="BV87" s="52" t="s">
        <v>83</v>
      </c>
      <c r="BW87" s="52" t="s">
        <v>84</v>
      </c>
      <c r="BX87" s="52" t="s">
        <v>85</v>
      </c>
    </row>
    <row r="88" spans="1:76" s="69" customFormat="1" ht="28.5" customHeight="1">
      <c r="A88" s="151" t="s">
        <v>426</v>
      </c>
      <c r="B88" s="70"/>
      <c r="C88" s="71"/>
      <c r="D88" s="173" t="s">
        <v>14</v>
      </c>
      <c r="E88" s="174"/>
      <c r="F88" s="174"/>
      <c r="G88" s="174"/>
      <c r="H88" s="174"/>
      <c r="I88" s="71"/>
      <c r="J88" s="173" t="s">
        <v>17</v>
      </c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1">
        <f>'1337 - Výměna části oken ...'!$M$26</f>
        <v>0</v>
      </c>
      <c r="AH88" s="172"/>
      <c r="AI88" s="172"/>
      <c r="AJ88" s="172"/>
      <c r="AK88" s="172"/>
      <c r="AL88" s="172"/>
      <c r="AM88" s="172"/>
      <c r="AN88" s="171">
        <f>ROUNDUP(SUM($AG$88,$AT$88),2)</f>
        <v>0</v>
      </c>
      <c r="AO88" s="172"/>
      <c r="AP88" s="172"/>
      <c r="AQ88" s="72"/>
      <c r="AS88" s="73">
        <f>'1337 - Výměna části oken ...'!$M$24</f>
        <v>0</v>
      </c>
      <c r="AT88" s="74">
        <f>ROUNDUP(SUM($AV$88:$AW$88),1)</f>
        <v>0</v>
      </c>
      <c r="AU88" s="75">
        <f>'1337 - Výměna části oken ...'!$W$129</f>
        <v>571.717629</v>
      </c>
      <c r="AV88" s="74">
        <f>'1337 - Výměna části oken ...'!$M$28</f>
        <v>0</v>
      </c>
      <c r="AW88" s="74">
        <f>'1337 - Výměna části oken ...'!$M$29</f>
        <v>0</v>
      </c>
      <c r="AX88" s="74">
        <f>'1337 - Výměna části oken ...'!$M$30</f>
        <v>0</v>
      </c>
      <c r="AY88" s="74">
        <f>'1337 - Výměna části oken ...'!$M$31</f>
        <v>0</v>
      </c>
      <c r="AZ88" s="74">
        <f>'1337 - Výměna části oken ...'!$H$28</f>
        <v>0</v>
      </c>
      <c r="BA88" s="74">
        <f>'1337 - Výměna části oken ...'!$H$29</f>
        <v>0</v>
      </c>
      <c r="BB88" s="74">
        <f>'1337 - Výměna části oken ...'!$H$30</f>
        <v>0</v>
      </c>
      <c r="BC88" s="74">
        <f>'1337 - Výměna části oken ...'!$H$31</f>
        <v>0</v>
      </c>
      <c r="BD88" s="76">
        <f>'1337 - Výměna části oken ...'!$H$32</f>
        <v>0</v>
      </c>
      <c r="BT88" s="69" t="s">
        <v>21</v>
      </c>
      <c r="BU88" s="69" t="s">
        <v>86</v>
      </c>
      <c r="BV88" s="69" t="s">
        <v>83</v>
      </c>
      <c r="BW88" s="69" t="s">
        <v>84</v>
      </c>
      <c r="BX88" s="69" t="s">
        <v>85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4" t="s">
        <v>87</v>
      </c>
      <c r="AG90" s="165">
        <f>ROUNDUP(SUM($AG$91:$AG$94),2)</f>
        <v>0</v>
      </c>
      <c r="AH90" s="162"/>
      <c r="AI90" s="162"/>
      <c r="AJ90" s="162"/>
      <c r="AK90" s="162"/>
      <c r="AL90" s="162"/>
      <c r="AM90" s="162"/>
      <c r="AN90" s="165">
        <f>ROUNDUP(SUM($AN$91:$AN$94),2)</f>
        <v>0</v>
      </c>
      <c r="AO90" s="162"/>
      <c r="AP90" s="162"/>
      <c r="AQ90" s="23"/>
      <c r="AS90" s="59" t="s">
        <v>88</v>
      </c>
      <c r="AT90" s="60" t="s">
        <v>89</v>
      </c>
      <c r="AU90" s="60" t="s">
        <v>46</v>
      </c>
      <c r="AV90" s="61" t="s">
        <v>69</v>
      </c>
      <c r="AW90" s="62"/>
    </row>
    <row r="91" spans="2:89" s="6" customFormat="1" ht="21" customHeight="1">
      <c r="B91" s="22"/>
      <c r="D91" s="77" t="s">
        <v>90</v>
      </c>
      <c r="AG91" s="163">
        <f>ROUNDUP($AG$87*$AS$91,2)</f>
        <v>0</v>
      </c>
      <c r="AH91" s="162"/>
      <c r="AI91" s="162"/>
      <c r="AJ91" s="162"/>
      <c r="AK91" s="162"/>
      <c r="AL91" s="162"/>
      <c r="AM91" s="162"/>
      <c r="AN91" s="164">
        <f>ROUNDUP($AG$91+$AV$91,2)</f>
        <v>0</v>
      </c>
      <c r="AO91" s="162"/>
      <c r="AP91" s="162"/>
      <c r="AQ91" s="23"/>
      <c r="AS91" s="78">
        <v>0</v>
      </c>
      <c r="AT91" s="79" t="s">
        <v>91</v>
      </c>
      <c r="AU91" s="79" t="s">
        <v>47</v>
      </c>
      <c r="AV91" s="80">
        <f>ROUNDUP(IF($AU$91="základní",$AG$91*$L$28,IF($AU$91="snížená",$AG$91*$L$29,0)),2)</f>
        <v>0</v>
      </c>
      <c r="BV91" s="6" t="s">
        <v>92</v>
      </c>
      <c r="BY91" s="81">
        <f>IF($AU$91="základní",$AV$91,0)</f>
        <v>0</v>
      </c>
      <c r="BZ91" s="81">
        <f>IF($AU$91="snížená",$AV$91,0)</f>
        <v>0</v>
      </c>
      <c r="CA91" s="81">
        <v>0</v>
      </c>
      <c r="CB91" s="81">
        <v>0</v>
      </c>
      <c r="CC91" s="81">
        <v>0</v>
      </c>
      <c r="CD91" s="81">
        <f>IF($AU$91="základní",$AG$91,0)</f>
        <v>0</v>
      </c>
      <c r="CE91" s="81">
        <f>IF($AU$91="snížená",$AG$91,0)</f>
        <v>0</v>
      </c>
      <c r="CF91" s="81">
        <f>IF($AU$91="zákl. přenesená",$AG$91,0)</f>
        <v>0</v>
      </c>
      <c r="CG91" s="81">
        <f>IF($AU$91="sníž. přenesená",$AG$91,0)</f>
        <v>0</v>
      </c>
      <c r="CH91" s="81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161" t="s">
        <v>93</v>
      </c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G92" s="163">
        <f>$AG$87*$AS$92</f>
        <v>0</v>
      </c>
      <c r="AH92" s="162"/>
      <c r="AI92" s="162"/>
      <c r="AJ92" s="162"/>
      <c r="AK92" s="162"/>
      <c r="AL92" s="162"/>
      <c r="AM92" s="162"/>
      <c r="AN92" s="164">
        <f>$AG$92+$AV$92</f>
        <v>0</v>
      </c>
      <c r="AO92" s="162"/>
      <c r="AP92" s="162"/>
      <c r="AQ92" s="23"/>
      <c r="AS92" s="82">
        <v>0</v>
      </c>
      <c r="AT92" s="83" t="s">
        <v>91</v>
      </c>
      <c r="AU92" s="83" t="s">
        <v>47</v>
      </c>
      <c r="AV92" s="84">
        <f>ROUNDUP(IF($AU$92="nulová",0,IF(OR($AU$92="základní",$AU$92="zákl. přenesená"),$AG$92*$L$28,$AG$92*$L$29)),1)</f>
        <v>0</v>
      </c>
      <c r="BV92" s="6" t="s">
        <v>94</v>
      </c>
      <c r="BY92" s="81">
        <f>IF($AU$92="základní",$AV$92,0)</f>
        <v>0</v>
      </c>
      <c r="BZ92" s="81">
        <f>IF($AU$92="snížená",$AV$92,0)</f>
        <v>0</v>
      </c>
      <c r="CA92" s="81">
        <f>IF($AU$92="zákl. přenesená",$AV$92,0)</f>
        <v>0</v>
      </c>
      <c r="CB92" s="81">
        <f>IF($AU$92="sníž. přenesená",$AV$92,0)</f>
        <v>0</v>
      </c>
      <c r="CC92" s="81">
        <f>IF($AU$92="nulová",$AV$92,0)</f>
        <v>0</v>
      </c>
      <c r="CD92" s="81">
        <f>IF($AU$92="základní",$AG$92,0)</f>
        <v>0</v>
      </c>
      <c r="CE92" s="81">
        <f>IF($AU$92="snížená",$AG$92,0)</f>
        <v>0</v>
      </c>
      <c r="CF92" s="81">
        <f>IF($AU$92="zákl. přenesená",$AG$92,0)</f>
        <v>0</v>
      </c>
      <c r="CG92" s="81">
        <f>IF($AU$92="sníž. přenesená",$AG$92,0)</f>
        <v>0</v>
      </c>
      <c r="CH92" s="81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D93" s="161" t="s">
        <v>93</v>
      </c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G93" s="163">
        <f>$AG$87*$AS$93</f>
        <v>0</v>
      </c>
      <c r="AH93" s="162"/>
      <c r="AI93" s="162"/>
      <c r="AJ93" s="162"/>
      <c r="AK93" s="162"/>
      <c r="AL93" s="162"/>
      <c r="AM93" s="162"/>
      <c r="AN93" s="164">
        <f>$AG$93+$AV$93</f>
        <v>0</v>
      </c>
      <c r="AO93" s="162"/>
      <c r="AP93" s="162"/>
      <c r="AQ93" s="23"/>
      <c r="AS93" s="82">
        <v>0</v>
      </c>
      <c r="AT93" s="83" t="s">
        <v>91</v>
      </c>
      <c r="AU93" s="83" t="s">
        <v>47</v>
      </c>
      <c r="AV93" s="84">
        <f>ROUNDUP(IF($AU$93="nulová",0,IF(OR($AU$93="základní",$AU$93="zákl. přenesená"),$AG$93*$L$28,$AG$93*$L$29)),1)</f>
        <v>0</v>
      </c>
      <c r="BV93" s="6" t="s">
        <v>94</v>
      </c>
      <c r="BY93" s="81">
        <f>IF($AU$93="základní",$AV$93,0)</f>
        <v>0</v>
      </c>
      <c r="BZ93" s="81">
        <f>IF($AU$93="snížená",$AV$93,0)</f>
        <v>0</v>
      </c>
      <c r="CA93" s="81">
        <f>IF($AU$93="zákl. přenesená",$AV$93,0)</f>
        <v>0</v>
      </c>
      <c r="CB93" s="81">
        <f>IF($AU$93="sníž. přenesená",$AV$93,0)</f>
        <v>0</v>
      </c>
      <c r="CC93" s="81">
        <f>IF($AU$93="nulová",$AV$93,0)</f>
        <v>0</v>
      </c>
      <c r="CD93" s="81">
        <f>IF($AU$93="základní",$AG$93,0)</f>
        <v>0</v>
      </c>
      <c r="CE93" s="81">
        <f>IF($AU$93="snížená",$AG$93,0)</f>
        <v>0</v>
      </c>
      <c r="CF93" s="81">
        <f>IF($AU$93="zákl. přenesená",$AG$93,0)</f>
        <v>0</v>
      </c>
      <c r="CG93" s="81">
        <f>IF($AU$93="sníž. přenesená",$AG$93,0)</f>
        <v>0</v>
      </c>
      <c r="CH93" s="81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61" t="s">
        <v>93</v>
      </c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G94" s="163">
        <f>$AG$87*$AS$94</f>
        <v>0</v>
      </c>
      <c r="AH94" s="162"/>
      <c r="AI94" s="162"/>
      <c r="AJ94" s="162"/>
      <c r="AK94" s="162"/>
      <c r="AL94" s="162"/>
      <c r="AM94" s="162"/>
      <c r="AN94" s="164">
        <f>$AG$94+$AV$94</f>
        <v>0</v>
      </c>
      <c r="AO94" s="162"/>
      <c r="AP94" s="162"/>
      <c r="AQ94" s="23"/>
      <c r="AS94" s="85">
        <v>0</v>
      </c>
      <c r="AT94" s="86" t="s">
        <v>91</v>
      </c>
      <c r="AU94" s="86" t="s">
        <v>47</v>
      </c>
      <c r="AV94" s="87">
        <f>ROUNDUP(IF($AU$94="nulová",0,IF(OR($AU$94="základní",$AU$94="zákl. přenesená"),$AG$94*$L$28,$AG$94*$L$29)),1)</f>
        <v>0</v>
      </c>
      <c r="BV94" s="6" t="s">
        <v>94</v>
      </c>
      <c r="BY94" s="81">
        <f>IF($AU$94="základní",$AV$94,0)</f>
        <v>0</v>
      </c>
      <c r="BZ94" s="81">
        <f>IF($AU$94="snížená",$AV$94,0)</f>
        <v>0</v>
      </c>
      <c r="CA94" s="81">
        <f>IF($AU$94="zákl. přenesená",$AV$94,0)</f>
        <v>0</v>
      </c>
      <c r="CB94" s="81">
        <f>IF($AU$94="sníž. přenesená",$AV$94,0)</f>
        <v>0</v>
      </c>
      <c r="CC94" s="81">
        <f>IF($AU$94="nulová",$AV$94,0)</f>
        <v>0</v>
      </c>
      <c r="CD94" s="81">
        <f>IF($AU$94="základní",$AG$94,0)</f>
        <v>0</v>
      </c>
      <c r="CE94" s="81">
        <f>IF($AU$94="snížená",$AG$94,0)</f>
        <v>0</v>
      </c>
      <c r="CF94" s="81">
        <f>IF($AU$94="zákl. přenesená",$AG$94,0)</f>
        <v>0</v>
      </c>
      <c r="CG94" s="81">
        <f>IF($AU$94="sníž. přenesená",$AG$94,0)</f>
        <v>0</v>
      </c>
      <c r="CH94" s="81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8" t="s">
        <v>95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57">
        <f>ROUNDUP($AG$87+$AG$90,2)</f>
        <v>0</v>
      </c>
      <c r="AH96" s="158"/>
      <c r="AI96" s="158"/>
      <c r="AJ96" s="158"/>
      <c r="AK96" s="158"/>
      <c r="AL96" s="158"/>
      <c r="AM96" s="158"/>
      <c r="AN96" s="157">
        <f>ROUNDUP($AN$87+$AN$90,2)</f>
        <v>0</v>
      </c>
      <c r="AO96" s="158"/>
      <c r="AP96" s="158"/>
      <c r="AQ96" s="23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sheetProtection/>
  <mergeCells count="57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337 - Výměna části oken ...'!C2" tooltip="1337 - Výměna části oken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6"/>
      <c r="B1" s="153"/>
      <c r="C1" s="153"/>
      <c r="D1" s="154" t="s">
        <v>1</v>
      </c>
      <c r="E1" s="153"/>
      <c r="F1" s="155" t="s">
        <v>427</v>
      </c>
      <c r="G1" s="155"/>
      <c r="H1" s="194" t="s">
        <v>428</v>
      </c>
      <c r="I1" s="194"/>
      <c r="J1" s="194"/>
      <c r="K1" s="194"/>
      <c r="L1" s="155" t="s">
        <v>429</v>
      </c>
      <c r="M1" s="153"/>
      <c r="N1" s="153"/>
      <c r="O1" s="154" t="s">
        <v>96</v>
      </c>
      <c r="P1" s="153"/>
      <c r="Q1" s="153"/>
      <c r="R1" s="153"/>
      <c r="S1" s="155" t="s">
        <v>430</v>
      </c>
      <c r="T1" s="155"/>
      <c r="U1" s="156"/>
      <c r="V1" s="15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6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59" t="s">
        <v>5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97</v>
      </c>
    </row>
    <row r="4" spans="2:46" s="2" customFormat="1" ht="37.5" customHeight="1">
      <c r="B4" s="10"/>
      <c r="C4" s="177" t="s">
        <v>98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7.5" customHeight="1">
      <c r="B6" s="22"/>
      <c r="D6" s="16" t="s">
        <v>16</v>
      </c>
      <c r="F6" s="188" t="s">
        <v>17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R6" s="23"/>
    </row>
    <row r="7" spans="2:18" s="6" customFormat="1" ht="15" customHeight="1">
      <c r="B7" s="22"/>
      <c r="D7" s="17" t="s">
        <v>19</v>
      </c>
      <c r="F7" s="15"/>
      <c r="M7" s="17" t="s">
        <v>20</v>
      </c>
      <c r="O7" s="15"/>
      <c r="R7" s="23"/>
    </row>
    <row r="8" spans="2:18" s="6" customFormat="1" ht="15" customHeight="1">
      <c r="B8" s="22"/>
      <c r="D8" s="17" t="s">
        <v>22</v>
      </c>
      <c r="F8" s="15" t="s">
        <v>23</v>
      </c>
      <c r="M8" s="17" t="s">
        <v>24</v>
      </c>
      <c r="O8" s="222" t="str">
        <f>'Rekapitulace stavby'!$AN$8</f>
        <v>08.08.2013</v>
      </c>
      <c r="P8" s="162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28</v>
      </c>
      <c r="M10" s="17" t="s">
        <v>29</v>
      </c>
      <c r="O10" s="179" t="s">
        <v>30</v>
      </c>
      <c r="P10" s="162"/>
      <c r="R10" s="23"/>
    </row>
    <row r="11" spans="2:18" s="6" customFormat="1" ht="18.75" customHeight="1">
      <c r="B11" s="22"/>
      <c r="E11" s="15" t="s">
        <v>31</v>
      </c>
      <c r="M11" s="17" t="s">
        <v>32</v>
      </c>
      <c r="O11" s="179" t="s">
        <v>33</v>
      </c>
      <c r="P11" s="162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34</v>
      </c>
      <c r="M13" s="17" t="s">
        <v>29</v>
      </c>
      <c r="O13" s="221" t="str">
        <f>IF('Rekapitulace stavby'!$AN$13="","",'Rekapitulace stavby'!$AN$13)</f>
        <v>Vyplň údaj</v>
      </c>
      <c r="P13" s="162"/>
      <c r="R13" s="23"/>
    </row>
    <row r="14" spans="2:18" s="6" customFormat="1" ht="18.75" customHeight="1">
      <c r="B14" s="22"/>
      <c r="E14" s="221" t="str">
        <f>IF('Rekapitulace stavby'!$E$14="","",'Rekapitulace stavby'!$E$14)</f>
        <v>Vyplň údaj</v>
      </c>
      <c r="F14" s="162"/>
      <c r="G14" s="162"/>
      <c r="H14" s="162"/>
      <c r="I14" s="162"/>
      <c r="J14" s="162"/>
      <c r="K14" s="162"/>
      <c r="L14" s="162"/>
      <c r="M14" s="17" t="s">
        <v>32</v>
      </c>
      <c r="O14" s="221" t="str">
        <f>IF('Rekapitulace stavby'!$AN$14="","",'Rekapitulace stavby'!$AN$14)</f>
        <v>Vyplň údaj</v>
      </c>
      <c r="P14" s="162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36</v>
      </c>
      <c r="M16" s="17" t="s">
        <v>29</v>
      </c>
      <c r="O16" s="179" t="s">
        <v>37</v>
      </c>
      <c r="P16" s="162"/>
      <c r="R16" s="23"/>
    </row>
    <row r="17" spans="2:18" s="6" customFormat="1" ht="18.75" customHeight="1">
      <c r="B17" s="22"/>
      <c r="E17" s="15" t="s">
        <v>38</v>
      </c>
      <c r="M17" s="17" t="s">
        <v>32</v>
      </c>
      <c r="O17" s="179" t="s">
        <v>39</v>
      </c>
      <c r="P17" s="162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41</v>
      </c>
      <c r="M19" s="17" t="s">
        <v>29</v>
      </c>
      <c r="O19" s="179"/>
      <c r="P19" s="162"/>
      <c r="R19" s="23"/>
    </row>
    <row r="20" spans="2:18" s="6" customFormat="1" ht="18.75" customHeight="1">
      <c r="B20" s="22"/>
      <c r="E20" s="15" t="s">
        <v>42</v>
      </c>
      <c r="M20" s="17" t="s">
        <v>32</v>
      </c>
      <c r="O20" s="179"/>
      <c r="P20" s="162"/>
      <c r="R20" s="23"/>
    </row>
    <row r="21" spans="2:18" s="6" customFormat="1" ht="7.5" customHeight="1">
      <c r="B21" s="22"/>
      <c r="R21" s="23"/>
    </row>
    <row r="22" spans="2:18" s="6" customFormat="1" ht="7.5" customHeight="1">
      <c r="B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R22" s="23"/>
    </row>
    <row r="23" spans="2:18" s="6" customFormat="1" ht="15" customHeight="1">
      <c r="B23" s="22"/>
      <c r="D23" s="89" t="s">
        <v>99</v>
      </c>
      <c r="M23" s="190">
        <f>$N$87</f>
        <v>0</v>
      </c>
      <c r="N23" s="162"/>
      <c r="O23" s="162"/>
      <c r="P23" s="162"/>
      <c r="R23" s="23"/>
    </row>
    <row r="24" spans="2:18" s="6" customFormat="1" ht="15" customHeight="1">
      <c r="B24" s="22"/>
      <c r="D24" s="21" t="s">
        <v>90</v>
      </c>
      <c r="M24" s="190">
        <f>$N$105</f>
        <v>0</v>
      </c>
      <c r="N24" s="162"/>
      <c r="O24" s="162"/>
      <c r="P24" s="162"/>
      <c r="R24" s="23"/>
    </row>
    <row r="25" spans="2:18" s="6" customFormat="1" ht="7.5" customHeight="1">
      <c r="B25" s="22"/>
      <c r="R25" s="23"/>
    </row>
    <row r="26" spans="2:18" s="6" customFormat="1" ht="26.25" customHeight="1">
      <c r="B26" s="22"/>
      <c r="D26" s="90" t="s">
        <v>45</v>
      </c>
      <c r="M26" s="220">
        <f>ROUNDUP($M$23+$M$24,2)</f>
        <v>0</v>
      </c>
      <c r="N26" s="162"/>
      <c r="O26" s="162"/>
      <c r="P26" s="162"/>
      <c r="R26" s="23"/>
    </row>
    <row r="27" spans="2:18" s="6" customFormat="1" ht="7.5" customHeight="1">
      <c r="B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R27" s="23"/>
    </row>
    <row r="28" spans="2:18" s="6" customFormat="1" ht="15" customHeight="1">
      <c r="B28" s="22"/>
      <c r="D28" s="27" t="s">
        <v>46</v>
      </c>
      <c r="E28" s="27" t="s">
        <v>47</v>
      </c>
      <c r="F28" s="28">
        <v>0.21</v>
      </c>
      <c r="G28" s="91" t="s">
        <v>48</v>
      </c>
      <c r="H28" s="219">
        <f>ROUNDUP((((SUM($BE$105:$BE$112)+SUM($BE$129:$BE$260))+SUM($BE$262:$BE$266))),2)</f>
        <v>0</v>
      </c>
      <c r="I28" s="162"/>
      <c r="J28" s="162"/>
      <c r="M28" s="219">
        <f>ROUNDUP((((SUM($BE$105:$BE$112)+SUM($BE$129:$BE$260))*$F$28)+SUM($BE$262:$BE$266)*$F$28),1)</f>
        <v>0</v>
      </c>
      <c r="N28" s="162"/>
      <c r="O28" s="162"/>
      <c r="P28" s="162"/>
      <c r="R28" s="23"/>
    </row>
    <row r="29" spans="2:18" s="6" customFormat="1" ht="15" customHeight="1">
      <c r="B29" s="22"/>
      <c r="E29" s="27" t="s">
        <v>49</v>
      </c>
      <c r="F29" s="28">
        <v>0.15</v>
      </c>
      <c r="G29" s="91" t="s">
        <v>48</v>
      </c>
      <c r="H29" s="219">
        <f>ROUNDUP((((SUM($BF$105:$BF$112)+SUM($BF$129:$BF$260))+SUM($BF$262:$BF$266))),2)</f>
        <v>0</v>
      </c>
      <c r="I29" s="162"/>
      <c r="J29" s="162"/>
      <c r="M29" s="219">
        <f>ROUNDUP((((SUM($BF$105:$BF$112)+SUM($BF$129:$BF$260))*$F$29)+SUM($BF$262:$BF$266)*$F$29),1)</f>
        <v>0</v>
      </c>
      <c r="N29" s="162"/>
      <c r="O29" s="162"/>
      <c r="P29" s="162"/>
      <c r="R29" s="23"/>
    </row>
    <row r="30" spans="2:18" s="6" customFormat="1" ht="15" customHeight="1" hidden="1">
      <c r="B30" s="22"/>
      <c r="E30" s="27" t="s">
        <v>50</v>
      </c>
      <c r="F30" s="28">
        <v>0.21</v>
      </c>
      <c r="G30" s="91" t="s">
        <v>48</v>
      </c>
      <c r="H30" s="219">
        <f>ROUNDUP((((SUM($BG$105:$BG$112)+SUM($BG$129:$BG$260))+SUM($BG$262:$BG$266))),2)</f>
        <v>0</v>
      </c>
      <c r="I30" s="162"/>
      <c r="J30" s="162"/>
      <c r="M30" s="219">
        <v>0</v>
      </c>
      <c r="N30" s="162"/>
      <c r="O30" s="162"/>
      <c r="P30" s="162"/>
      <c r="R30" s="23"/>
    </row>
    <row r="31" spans="2:18" s="6" customFormat="1" ht="15" customHeight="1" hidden="1">
      <c r="B31" s="22"/>
      <c r="E31" s="27" t="s">
        <v>51</v>
      </c>
      <c r="F31" s="28">
        <v>0.15</v>
      </c>
      <c r="G31" s="91" t="s">
        <v>48</v>
      </c>
      <c r="H31" s="219">
        <f>ROUNDUP((((SUM($BH$105:$BH$112)+SUM($BH$129:$BH$260))+SUM($BH$262:$BH$266))),2)</f>
        <v>0</v>
      </c>
      <c r="I31" s="162"/>
      <c r="J31" s="162"/>
      <c r="M31" s="219">
        <v>0</v>
      </c>
      <c r="N31" s="162"/>
      <c r="O31" s="162"/>
      <c r="P31" s="162"/>
      <c r="R31" s="23"/>
    </row>
    <row r="32" spans="2:18" s="6" customFormat="1" ht="15" customHeight="1" hidden="1">
      <c r="B32" s="22"/>
      <c r="E32" s="27" t="s">
        <v>52</v>
      </c>
      <c r="F32" s="28">
        <v>0</v>
      </c>
      <c r="G32" s="91" t="s">
        <v>48</v>
      </c>
      <c r="H32" s="219">
        <f>ROUNDUP((((SUM($BI$105:$BI$112)+SUM($BI$129:$BI$260))+SUM($BI$262:$BI$266))),2)</f>
        <v>0</v>
      </c>
      <c r="I32" s="162"/>
      <c r="J32" s="162"/>
      <c r="M32" s="219">
        <v>0</v>
      </c>
      <c r="N32" s="162"/>
      <c r="O32" s="162"/>
      <c r="P32" s="162"/>
      <c r="R32" s="23"/>
    </row>
    <row r="33" spans="2:18" s="6" customFormat="1" ht="7.5" customHeight="1">
      <c r="B33" s="22"/>
      <c r="R33" s="23"/>
    </row>
    <row r="34" spans="2:18" s="6" customFormat="1" ht="26.25" customHeight="1">
      <c r="B34" s="22"/>
      <c r="C34" s="31"/>
      <c r="D34" s="32" t="s">
        <v>53</v>
      </c>
      <c r="E34" s="33"/>
      <c r="F34" s="33"/>
      <c r="G34" s="92" t="s">
        <v>54</v>
      </c>
      <c r="H34" s="34" t="s">
        <v>55</v>
      </c>
      <c r="I34" s="33"/>
      <c r="J34" s="33"/>
      <c r="K34" s="33"/>
      <c r="L34" s="176">
        <f>ROUNDUP(SUM($M$26:$M$32),2)</f>
        <v>0</v>
      </c>
      <c r="M34" s="168"/>
      <c r="N34" s="168"/>
      <c r="O34" s="168"/>
      <c r="P34" s="170"/>
      <c r="Q34" s="31"/>
      <c r="R34" s="23"/>
    </row>
    <row r="35" spans="2:18" s="6" customFormat="1" ht="15" customHeight="1">
      <c r="B35" s="22"/>
      <c r="R35" s="23"/>
    </row>
    <row r="36" spans="2:18" s="6" customFormat="1" ht="15" customHeight="1">
      <c r="B36" s="22"/>
      <c r="R36" s="23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56</v>
      </c>
      <c r="E50" s="36"/>
      <c r="F50" s="36"/>
      <c r="G50" s="36"/>
      <c r="H50" s="37"/>
      <c r="J50" s="35" t="s">
        <v>57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58</v>
      </c>
      <c r="E59" s="41"/>
      <c r="F59" s="41"/>
      <c r="G59" s="42" t="s">
        <v>59</v>
      </c>
      <c r="H59" s="43"/>
      <c r="J59" s="40" t="s">
        <v>58</v>
      </c>
      <c r="K59" s="41"/>
      <c r="L59" s="41"/>
      <c r="M59" s="41"/>
      <c r="N59" s="42" t="s">
        <v>59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60</v>
      </c>
      <c r="E61" s="36"/>
      <c r="F61" s="36"/>
      <c r="G61" s="36"/>
      <c r="H61" s="37"/>
      <c r="J61" s="35" t="s">
        <v>61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58</v>
      </c>
      <c r="E70" s="41"/>
      <c r="F70" s="41"/>
      <c r="G70" s="42" t="s">
        <v>59</v>
      </c>
      <c r="H70" s="43"/>
      <c r="J70" s="40" t="s">
        <v>58</v>
      </c>
      <c r="K70" s="41"/>
      <c r="L70" s="41"/>
      <c r="M70" s="41"/>
      <c r="N70" s="42" t="s">
        <v>59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77" t="s">
        <v>100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2" t="s">
        <v>16</v>
      </c>
      <c r="F78" s="178" t="str">
        <f>$F$6</f>
        <v>Výměna části oken a vstupních dveří - městský penzion pro důchodce</v>
      </c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22</v>
      </c>
      <c r="F80" s="15" t="str">
        <f>$F$8</f>
        <v>Kolín 2, Slovenská čp. 984</v>
      </c>
      <c r="K80" s="17" t="s">
        <v>24</v>
      </c>
      <c r="M80" s="212" t="str">
        <f>IF($O$8="","",$O$8)</f>
        <v>08.08.2013</v>
      </c>
      <c r="N80" s="162"/>
      <c r="O80" s="162"/>
      <c r="P80" s="162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28</v>
      </c>
      <c r="F82" s="15" t="str">
        <f>$E$11</f>
        <v>Město Kolín, Karlovo nám. 78, Kolín</v>
      </c>
      <c r="K82" s="17" t="s">
        <v>36</v>
      </c>
      <c r="M82" s="179" t="str">
        <f>$E$17</f>
        <v>Ing. Karel Vrátný, Rubešova 60, Kolín</v>
      </c>
      <c r="N82" s="162"/>
      <c r="O82" s="162"/>
      <c r="P82" s="162"/>
      <c r="Q82" s="162"/>
      <c r="R82" s="23"/>
    </row>
    <row r="83" spans="2:18" s="6" customFormat="1" ht="15" customHeight="1">
      <c r="B83" s="22"/>
      <c r="C83" s="17" t="s">
        <v>34</v>
      </c>
      <c r="F83" s="15" t="str">
        <f>IF($E$14="","",$E$14)</f>
        <v>Vyplň údaj</v>
      </c>
      <c r="K83" s="17" t="s">
        <v>41</v>
      </c>
      <c r="M83" s="179" t="str">
        <f>$E$20</f>
        <v>Alena Vrátná, Rubešova 60, 280 02 Kolín 1</v>
      </c>
      <c r="N83" s="162"/>
      <c r="O83" s="162"/>
      <c r="P83" s="162"/>
      <c r="Q83" s="162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218" t="s">
        <v>101</v>
      </c>
      <c r="D85" s="158"/>
      <c r="E85" s="158"/>
      <c r="F85" s="158"/>
      <c r="G85" s="158"/>
      <c r="H85" s="31"/>
      <c r="I85" s="31"/>
      <c r="J85" s="31"/>
      <c r="K85" s="31"/>
      <c r="L85" s="31"/>
      <c r="M85" s="31"/>
      <c r="N85" s="218" t="s">
        <v>102</v>
      </c>
      <c r="O85" s="162"/>
      <c r="P85" s="162"/>
      <c r="Q85" s="162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4" t="s">
        <v>103</v>
      </c>
      <c r="N87" s="165">
        <f>ROUNDUP($N$129,2)</f>
        <v>0</v>
      </c>
      <c r="O87" s="162"/>
      <c r="P87" s="162"/>
      <c r="Q87" s="162"/>
      <c r="R87" s="23"/>
      <c r="AU87" s="6" t="s">
        <v>104</v>
      </c>
    </row>
    <row r="88" spans="2:18" s="93" customFormat="1" ht="25.5" customHeight="1">
      <c r="B88" s="94"/>
      <c r="D88" s="95" t="s">
        <v>105</v>
      </c>
      <c r="N88" s="216">
        <f>ROUNDUP($N$130,2)</f>
        <v>0</v>
      </c>
      <c r="O88" s="217"/>
      <c r="P88" s="217"/>
      <c r="Q88" s="217"/>
      <c r="R88" s="96"/>
    </row>
    <row r="89" spans="2:18" s="89" customFormat="1" ht="21" customHeight="1">
      <c r="B89" s="97"/>
      <c r="D89" s="77" t="s">
        <v>106</v>
      </c>
      <c r="N89" s="164">
        <f>ROUNDUP($N$131,2)</f>
        <v>0</v>
      </c>
      <c r="O89" s="217"/>
      <c r="P89" s="217"/>
      <c r="Q89" s="217"/>
      <c r="R89" s="98"/>
    </row>
    <row r="90" spans="2:18" s="89" customFormat="1" ht="21" customHeight="1">
      <c r="B90" s="97"/>
      <c r="D90" s="77" t="s">
        <v>107</v>
      </c>
      <c r="N90" s="164">
        <f>ROUNDUP($N$136,2)</f>
        <v>0</v>
      </c>
      <c r="O90" s="217"/>
      <c r="P90" s="217"/>
      <c r="Q90" s="217"/>
      <c r="R90" s="98"/>
    </row>
    <row r="91" spans="2:18" s="89" customFormat="1" ht="21" customHeight="1">
      <c r="B91" s="97"/>
      <c r="D91" s="77" t="s">
        <v>108</v>
      </c>
      <c r="N91" s="164">
        <f>ROUNDUP($N$162,2)</f>
        <v>0</v>
      </c>
      <c r="O91" s="217"/>
      <c r="P91" s="217"/>
      <c r="Q91" s="217"/>
      <c r="R91" s="98"/>
    </row>
    <row r="92" spans="2:18" s="89" customFormat="1" ht="15.75" customHeight="1">
      <c r="B92" s="97"/>
      <c r="D92" s="77" t="s">
        <v>109</v>
      </c>
      <c r="N92" s="164">
        <f>ROUNDUP($N$183,2)</f>
        <v>0</v>
      </c>
      <c r="O92" s="217"/>
      <c r="P92" s="217"/>
      <c r="Q92" s="217"/>
      <c r="R92" s="98"/>
    </row>
    <row r="93" spans="2:18" s="93" customFormat="1" ht="25.5" customHeight="1">
      <c r="B93" s="94"/>
      <c r="D93" s="95" t="s">
        <v>110</v>
      </c>
      <c r="N93" s="216">
        <f>ROUNDUP($N$190,2)</f>
        <v>0</v>
      </c>
      <c r="O93" s="217"/>
      <c r="P93" s="217"/>
      <c r="Q93" s="217"/>
      <c r="R93" s="96"/>
    </row>
    <row r="94" spans="2:18" s="89" customFormat="1" ht="21" customHeight="1">
      <c r="B94" s="97"/>
      <c r="D94" s="77" t="s">
        <v>111</v>
      </c>
      <c r="N94" s="164">
        <f>ROUNDUP($N$191,2)</f>
        <v>0</v>
      </c>
      <c r="O94" s="217"/>
      <c r="P94" s="217"/>
      <c r="Q94" s="217"/>
      <c r="R94" s="98"/>
    </row>
    <row r="95" spans="2:18" s="89" customFormat="1" ht="21" customHeight="1">
      <c r="B95" s="97"/>
      <c r="D95" s="77" t="s">
        <v>112</v>
      </c>
      <c r="N95" s="164">
        <f>ROUNDUP($N$199,2)</f>
        <v>0</v>
      </c>
      <c r="O95" s="217"/>
      <c r="P95" s="217"/>
      <c r="Q95" s="217"/>
      <c r="R95" s="98"/>
    </row>
    <row r="96" spans="2:18" s="89" customFormat="1" ht="21" customHeight="1">
      <c r="B96" s="97"/>
      <c r="D96" s="77" t="s">
        <v>113</v>
      </c>
      <c r="N96" s="164">
        <f>ROUNDUP($N$211,2)</f>
        <v>0</v>
      </c>
      <c r="O96" s="217"/>
      <c r="P96" s="217"/>
      <c r="Q96" s="217"/>
      <c r="R96" s="98"/>
    </row>
    <row r="97" spans="2:18" s="89" customFormat="1" ht="21" customHeight="1">
      <c r="B97" s="97"/>
      <c r="D97" s="77" t="s">
        <v>114</v>
      </c>
      <c r="N97" s="164">
        <f>ROUNDUP($N$216,2)</f>
        <v>0</v>
      </c>
      <c r="O97" s="217"/>
      <c r="P97" s="217"/>
      <c r="Q97" s="217"/>
      <c r="R97" s="98"/>
    </row>
    <row r="98" spans="2:18" s="89" customFormat="1" ht="21" customHeight="1">
      <c r="B98" s="97"/>
      <c r="D98" s="77" t="s">
        <v>115</v>
      </c>
      <c r="N98" s="164">
        <f>ROUNDUP($N$244,2)</f>
        <v>0</v>
      </c>
      <c r="O98" s="217"/>
      <c r="P98" s="217"/>
      <c r="Q98" s="217"/>
      <c r="R98" s="98"/>
    </row>
    <row r="99" spans="2:18" s="89" customFormat="1" ht="21" customHeight="1">
      <c r="B99" s="97"/>
      <c r="D99" s="77" t="s">
        <v>116</v>
      </c>
      <c r="N99" s="164">
        <f>ROUNDUP($N$252,2)</f>
        <v>0</v>
      </c>
      <c r="O99" s="217"/>
      <c r="P99" s="217"/>
      <c r="Q99" s="217"/>
      <c r="R99" s="98"/>
    </row>
    <row r="100" spans="2:18" s="89" customFormat="1" ht="21" customHeight="1">
      <c r="B100" s="97"/>
      <c r="D100" s="77" t="s">
        <v>117</v>
      </c>
      <c r="N100" s="164">
        <f>ROUNDUP($N$255,2)</f>
        <v>0</v>
      </c>
      <c r="O100" s="217"/>
      <c r="P100" s="217"/>
      <c r="Q100" s="217"/>
      <c r="R100" s="98"/>
    </row>
    <row r="101" spans="2:18" s="93" customFormat="1" ht="25.5" customHeight="1">
      <c r="B101" s="94"/>
      <c r="D101" s="95" t="s">
        <v>118</v>
      </c>
      <c r="N101" s="216">
        <f>ROUNDUP($N$258,2)</f>
        <v>0</v>
      </c>
      <c r="O101" s="217"/>
      <c r="P101" s="217"/>
      <c r="Q101" s="217"/>
      <c r="R101" s="96"/>
    </row>
    <row r="102" spans="2:18" s="89" customFormat="1" ht="21" customHeight="1">
      <c r="B102" s="97"/>
      <c r="D102" s="77" t="s">
        <v>119</v>
      </c>
      <c r="N102" s="164">
        <f>ROUNDUP($N$259,2)</f>
        <v>0</v>
      </c>
      <c r="O102" s="217"/>
      <c r="P102" s="217"/>
      <c r="Q102" s="217"/>
      <c r="R102" s="98"/>
    </row>
    <row r="103" spans="2:18" s="93" customFormat="1" ht="22.5" customHeight="1">
      <c r="B103" s="94"/>
      <c r="D103" s="95" t="s">
        <v>120</v>
      </c>
      <c r="N103" s="193">
        <f>$N$261</f>
        <v>0</v>
      </c>
      <c r="O103" s="217"/>
      <c r="P103" s="217"/>
      <c r="Q103" s="217"/>
      <c r="R103" s="96"/>
    </row>
    <row r="104" spans="2:18" s="6" customFormat="1" ht="22.5" customHeight="1">
      <c r="B104" s="22"/>
      <c r="R104" s="23"/>
    </row>
    <row r="105" spans="2:21" s="6" customFormat="1" ht="30" customHeight="1">
      <c r="B105" s="22"/>
      <c r="C105" s="64" t="s">
        <v>121</v>
      </c>
      <c r="N105" s="165">
        <f>ROUNDUP($N$106+$N$107+$N$108+$N$109+$N$110+$N$111,2)</f>
        <v>0</v>
      </c>
      <c r="O105" s="162"/>
      <c r="P105" s="162"/>
      <c r="Q105" s="162"/>
      <c r="R105" s="23"/>
      <c r="T105" s="99"/>
      <c r="U105" s="100" t="s">
        <v>46</v>
      </c>
    </row>
    <row r="106" spans="2:62" s="6" customFormat="1" ht="18.75" customHeight="1">
      <c r="B106" s="22"/>
      <c r="D106" s="161" t="s">
        <v>122</v>
      </c>
      <c r="E106" s="162"/>
      <c r="F106" s="162"/>
      <c r="G106" s="162"/>
      <c r="H106" s="162"/>
      <c r="N106" s="163">
        <f>ROUNDUP($N$87*$T$106,2)</f>
        <v>0</v>
      </c>
      <c r="O106" s="162"/>
      <c r="P106" s="162"/>
      <c r="Q106" s="162"/>
      <c r="R106" s="23"/>
      <c r="T106" s="101"/>
      <c r="U106" s="102" t="s">
        <v>47</v>
      </c>
      <c r="AY106" s="6" t="s">
        <v>123</v>
      </c>
      <c r="BE106" s="81">
        <f>IF($U$106="základní",$N$106,0)</f>
        <v>0</v>
      </c>
      <c r="BF106" s="81">
        <f>IF($U$106="snížená",$N$106,0)</f>
        <v>0</v>
      </c>
      <c r="BG106" s="81">
        <f>IF($U$106="zákl. přenesená",$N$106,0)</f>
        <v>0</v>
      </c>
      <c r="BH106" s="81">
        <f>IF($U$106="sníž. přenesená",$N$106,0)</f>
        <v>0</v>
      </c>
      <c r="BI106" s="81">
        <f>IF($U$106="nulová",$N$106,0)</f>
        <v>0</v>
      </c>
      <c r="BJ106" s="6" t="s">
        <v>21</v>
      </c>
    </row>
    <row r="107" spans="2:62" s="6" customFormat="1" ht="18.75" customHeight="1">
      <c r="B107" s="22"/>
      <c r="D107" s="161" t="s">
        <v>124</v>
      </c>
      <c r="E107" s="162"/>
      <c r="F107" s="162"/>
      <c r="G107" s="162"/>
      <c r="H107" s="162"/>
      <c r="N107" s="163">
        <f>ROUNDUP($N$87*$T$107,2)</f>
        <v>0</v>
      </c>
      <c r="O107" s="162"/>
      <c r="P107" s="162"/>
      <c r="Q107" s="162"/>
      <c r="R107" s="23"/>
      <c r="T107" s="101"/>
      <c r="U107" s="102" t="s">
        <v>47</v>
      </c>
      <c r="AY107" s="6" t="s">
        <v>123</v>
      </c>
      <c r="BE107" s="81">
        <f>IF($U$107="základní",$N$107,0)</f>
        <v>0</v>
      </c>
      <c r="BF107" s="81">
        <f>IF($U$107="snížená",$N$107,0)</f>
        <v>0</v>
      </c>
      <c r="BG107" s="81">
        <f>IF($U$107="zákl. přenesená",$N$107,0)</f>
        <v>0</v>
      </c>
      <c r="BH107" s="81">
        <f>IF($U$107="sníž. přenesená",$N$107,0)</f>
        <v>0</v>
      </c>
      <c r="BI107" s="81">
        <f>IF($U$107="nulová",$N$107,0)</f>
        <v>0</v>
      </c>
      <c r="BJ107" s="6" t="s">
        <v>21</v>
      </c>
    </row>
    <row r="108" spans="2:62" s="6" customFormat="1" ht="18.75" customHeight="1">
      <c r="B108" s="22"/>
      <c r="D108" s="161" t="s">
        <v>125</v>
      </c>
      <c r="E108" s="162"/>
      <c r="F108" s="162"/>
      <c r="G108" s="162"/>
      <c r="H108" s="162"/>
      <c r="N108" s="163">
        <f>ROUNDUP($N$87*$T$108,2)</f>
        <v>0</v>
      </c>
      <c r="O108" s="162"/>
      <c r="P108" s="162"/>
      <c r="Q108" s="162"/>
      <c r="R108" s="23"/>
      <c r="T108" s="101"/>
      <c r="U108" s="102" t="s">
        <v>47</v>
      </c>
      <c r="AY108" s="6" t="s">
        <v>123</v>
      </c>
      <c r="BE108" s="81">
        <f>IF($U$108="základní",$N$108,0)</f>
        <v>0</v>
      </c>
      <c r="BF108" s="81">
        <f>IF($U$108="snížená",$N$108,0)</f>
        <v>0</v>
      </c>
      <c r="BG108" s="81">
        <f>IF($U$108="zákl. přenesená",$N$108,0)</f>
        <v>0</v>
      </c>
      <c r="BH108" s="81">
        <f>IF($U$108="sníž. přenesená",$N$108,0)</f>
        <v>0</v>
      </c>
      <c r="BI108" s="81">
        <f>IF($U$108="nulová",$N$108,0)</f>
        <v>0</v>
      </c>
      <c r="BJ108" s="6" t="s">
        <v>21</v>
      </c>
    </row>
    <row r="109" spans="2:62" s="6" customFormat="1" ht="18.75" customHeight="1">
      <c r="B109" s="22"/>
      <c r="D109" s="161" t="s">
        <v>126</v>
      </c>
      <c r="E109" s="162"/>
      <c r="F109" s="162"/>
      <c r="G109" s="162"/>
      <c r="H109" s="162"/>
      <c r="N109" s="163">
        <f>ROUNDUP($N$87*$T$109,2)</f>
        <v>0</v>
      </c>
      <c r="O109" s="162"/>
      <c r="P109" s="162"/>
      <c r="Q109" s="162"/>
      <c r="R109" s="23"/>
      <c r="T109" s="101"/>
      <c r="U109" s="102" t="s">
        <v>47</v>
      </c>
      <c r="AY109" s="6" t="s">
        <v>123</v>
      </c>
      <c r="BE109" s="81">
        <f>IF($U$109="základní",$N$109,0)</f>
        <v>0</v>
      </c>
      <c r="BF109" s="81">
        <f>IF($U$109="snížená",$N$109,0)</f>
        <v>0</v>
      </c>
      <c r="BG109" s="81">
        <f>IF($U$109="zákl. přenesená",$N$109,0)</f>
        <v>0</v>
      </c>
      <c r="BH109" s="81">
        <f>IF($U$109="sníž. přenesená",$N$109,0)</f>
        <v>0</v>
      </c>
      <c r="BI109" s="81">
        <f>IF($U$109="nulová",$N$109,0)</f>
        <v>0</v>
      </c>
      <c r="BJ109" s="6" t="s">
        <v>21</v>
      </c>
    </row>
    <row r="110" spans="2:62" s="6" customFormat="1" ht="18.75" customHeight="1">
      <c r="B110" s="22"/>
      <c r="D110" s="161" t="s">
        <v>127</v>
      </c>
      <c r="E110" s="162"/>
      <c r="F110" s="162"/>
      <c r="G110" s="162"/>
      <c r="H110" s="162"/>
      <c r="N110" s="163">
        <f>ROUNDUP($N$87*$T$110,2)</f>
        <v>0</v>
      </c>
      <c r="O110" s="162"/>
      <c r="P110" s="162"/>
      <c r="Q110" s="162"/>
      <c r="R110" s="23"/>
      <c r="T110" s="101"/>
      <c r="U110" s="102" t="s">
        <v>47</v>
      </c>
      <c r="AY110" s="6" t="s">
        <v>123</v>
      </c>
      <c r="BE110" s="81">
        <f>IF($U$110="základní",$N$110,0)</f>
        <v>0</v>
      </c>
      <c r="BF110" s="81">
        <f>IF($U$110="snížená",$N$110,0)</f>
        <v>0</v>
      </c>
      <c r="BG110" s="81">
        <f>IF($U$110="zákl. přenesená",$N$110,0)</f>
        <v>0</v>
      </c>
      <c r="BH110" s="81">
        <f>IF($U$110="sníž. přenesená",$N$110,0)</f>
        <v>0</v>
      </c>
      <c r="BI110" s="81">
        <f>IF($U$110="nulová",$N$110,0)</f>
        <v>0</v>
      </c>
      <c r="BJ110" s="6" t="s">
        <v>21</v>
      </c>
    </row>
    <row r="111" spans="2:62" s="6" customFormat="1" ht="18.75" customHeight="1">
      <c r="B111" s="22"/>
      <c r="D111" s="77" t="s">
        <v>128</v>
      </c>
      <c r="N111" s="163">
        <f>ROUNDUP($N$87*$T$111,2)</f>
        <v>0</v>
      </c>
      <c r="O111" s="162"/>
      <c r="P111" s="162"/>
      <c r="Q111" s="162"/>
      <c r="R111" s="23"/>
      <c r="T111" s="103"/>
      <c r="U111" s="104" t="s">
        <v>47</v>
      </c>
      <c r="AY111" s="6" t="s">
        <v>129</v>
      </c>
      <c r="BE111" s="81">
        <f>IF($U$111="základní",$N$111,0)</f>
        <v>0</v>
      </c>
      <c r="BF111" s="81">
        <f>IF($U$111="snížená",$N$111,0)</f>
        <v>0</v>
      </c>
      <c r="BG111" s="81">
        <f>IF($U$111="zákl. přenesená",$N$111,0)</f>
        <v>0</v>
      </c>
      <c r="BH111" s="81">
        <f>IF($U$111="sníž. přenesená",$N$111,0)</f>
        <v>0</v>
      </c>
      <c r="BI111" s="81">
        <f>IF($U$111="nulová",$N$111,0)</f>
        <v>0</v>
      </c>
      <c r="BJ111" s="6" t="s">
        <v>21</v>
      </c>
    </row>
    <row r="112" spans="2:18" s="6" customFormat="1" ht="14.25" customHeight="1">
      <c r="B112" s="22"/>
      <c r="R112" s="23"/>
    </row>
    <row r="113" spans="2:18" s="6" customFormat="1" ht="30" customHeight="1">
      <c r="B113" s="22"/>
      <c r="C113" s="88" t="s">
        <v>95</v>
      </c>
      <c r="D113" s="31"/>
      <c r="E113" s="31"/>
      <c r="F113" s="31"/>
      <c r="G113" s="31"/>
      <c r="H113" s="31"/>
      <c r="I113" s="31"/>
      <c r="J113" s="31"/>
      <c r="K113" s="31"/>
      <c r="L113" s="157">
        <f>ROUNDUP(SUM($N$87+$N$105),2)</f>
        <v>0</v>
      </c>
      <c r="M113" s="158"/>
      <c r="N113" s="158"/>
      <c r="O113" s="158"/>
      <c r="P113" s="158"/>
      <c r="Q113" s="158"/>
      <c r="R113" s="23"/>
    </row>
    <row r="114" spans="2:18" s="6" customFormat="1" ht="7.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8" spans="2:18" s="6" customFormat="1" ht="7.5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pans="2:18" s="6" customFormat="1" ht="37.5" customHeight="1">
      <c r="B119" s="22"/>
      <c r="C119" s="177" t="s">
        <v>130</v>
      </c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23"/>
    </row>
    <row r="120" spans="2:18" s="6" customFormat="1" ht="7.5" customHeight="1">
      <c r="B120" s="22"/>
      <c r="R120" s="23"/>
    </row>
    <row r="121" spans="2:18" s="6" customFormat="1" ht="37.5" customHeight="1">
      <c r="B121" s="22"/>
      <c r="C121" s="52" t="s">
        <v>16</v>
      </c>
      <c r="F121" s="178" t="str">
        <f>$F$6</f>
        <v>Výměna části oken a vstupních dveří - městský penzion pro důchodce</v>
      </c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R121" s="23"/>
    </row>
    <row r="122" spans="2:18" s="6" customFormat="1" ht="7.5" customHeight="1">
      <c r="B122" s="22"/>
      <c r="R122" s="23"/>
    </row>
    <row r="123" spans="2:18" s="6" customFormat="1" ht="18.75" customHeight="1">
      <c r="B123" s="22"/>
      <c r="C123" s="17" t="s">
        <v>22</v>
      </c>
      <c r="F123" s="15" t="str">
        <f>$F$8</f>
        <v>Kolín 2, Slovenská čp. 984</v>
      </c>
      <c r="K123" s="17" t="s">
        <v>24</v>
      </c>
      <c r="M123" s="212" t="str">
        <f>IF($O$8="","",$O$8)</f>
        <v>08.08.2013</v>
      </c>
      <c r="N123" s="162"/>
      <c r="O123" s="162"/>
      <c r="P123" s="162"/>
      <c r="R123" s="23"/>
    </row>
    <row r="124" spans="2:18" s="6" customFormat="1" ht="7.5" customHeight="1">
      <c r="B124" s="22"/>
      <c r="R124" s="23"/>
    </row>
    <row r="125" spans="2:18" s="6" customFormat="1" ht="15.75" customHeight="1">
      <c r="B125" s="22"/>
      <c r="C125" s="17" t="s">
        <v>28</v>
      </c>
      <c r="F125" s="15" t="str">
        <f>$E$11</f>
        <v>Město Kolín, Karlovo nám. 78, Kolín</v>
      </c>
      <c r="K125" s="17" t="s">
        <v>36</v>
      </c>
      <c r="M125" s="179" t="str">
        <f>$E$17</f>
        <v>Ing. Karel Vrátný, Rubešova 60, Kolín</v>
      </c>
      <c r="N125" s="162"/>
      <c r="O125" s="162"/>
      <c r="P125" s="162"/>
      <c r="Q125" s="162"/>
      <c r="R125" s="23"/>
    </row>
    <row r="126" spans="2:18" s="6" customFormat="1" ht="15" customHeight="1">
      <c r="B126" s="22"/>
      <c r="C126" s="17" t="s">
        <v>34</v>
      </c>
      <c r="F126" s="15" t="str">
        <f>IF($E$14="","",$E$14)</f>
        <v>Vyplň údaj</v>
      </c>
      <c r="K126" s="17" t="s">
        <v>41</v>
      </c>
      <c r="M126" s="179" t="str">
        <f>$E$20</f>
        <v>Alena Vrátná, Rubešova 60, 280 02 Kolín 1</v>
      </c>
      <c r="N126" s="162"/>
      <c r="O126" s="162"/>
      <c r="P126" s="162"/>
      <c r="Q126" s="162"/>
      <c r="R126" s="23"/>
    </row>
    <row r="127" spans="2:18" s="6" customFormat="1" ht="11.25" customHeight="1">
      <c r="B127" s="22"/>
      <c r="R127" s="23"/>
    </row>
    <row r="128" spans="2:27" s="105" customFormat="1" ht="30" customHeight="1">
      <c r="B128" s="106"/>
      <c r="C128" s="107" t="s">
        <v>131</v>
      </c>
      <c r="D128" s="108" t="s">
        <v>132</v>
      </c>
      <c r="E128" s="108" t="s">
        <v>64</v>
      </c>
      <c r="F128" s="213" t="s">
        <v>133</v>
      </c>
      <c r="G128" s="214"/>
      <c r="H128" s="214"/>
      <c r="I128" s="214"/>
      <c r="J128" s="108" t="s">
        <v>134</v>
      </c>
      <c r="K128" s="108" t="s">
        <v>135</v>
      </c>
      <c r="L128" s="213" t="s">
        <v>136</v>
      </c>
      <c r="M128" s="214"/>
      <c r="N128" s="213" t="s">
        <v>137</v>
      </c>
      <c r="O128" s="214"/>
      <c r="P128" s="214"/>
      <c r="Q128" s="215"/>
      <c r="R128" s="109"/>
      <c r="T128" s="59" t="s">
        <v>138</v>
      </c>
      <c r="U128" s="60" t="s">
        <v>46</v>
      </c>
      <c r="V128" s="60" t="s">
        <v>139</v>
      </c>
      <c r="W128" s="60" t="s">
        <v>140</v>
      </c>
      <c r="X128" s="60" t="s">
        <v>141</v>
      </c>
      <c r="Y128" s="60" t="s">
        <v>142</v>
      </c>
      <c r="Z128" s="60" t="s">
        <v>143</v>
      </c>
      <c r="AA128" s="61" t="s">
        <v>144</v>
      </c>
    </row>
    <row r="129" spans="2:63" s="6" customFormat="1" ht="30" customHeight="1">
      <c r="B129" s="22"/>
      <c r="C129" s="64" t="s">
        <v>99</v>
      </c>
      <c r="N129" s="202">
        <f>$BK$129</f>
        <v>0</v>
      </c>
      <c r="O129" s="162"/>
      <c r="P129" s="162"/>
      <c r="Q129" s="162"/>
      <c r="R129" s="23"/>
      <c r="T129" s="63"/>
      <c r="U129" s="36"/>
      <c r="V129" s="36"/>
      <c r="W129" s="110">
        <f>$W$130+$W$190+$W$258+$W$261</f>
        <v>571.717629</v>
      </c>
      <c r="X129" s="36"/>
      <c r="Y129" s="110">
        <f>$Y$130+$Y$190+$Y$258+$Y$261</f>
        <v>3.50580683</v>
      </c>
      <c r="Z129" s="36"/>
      <c r="AA129" s="111">
        <f>$AA$130+$AA$190+$AA$258+$AA$261</f>
        <v>5.521866</v>
      </c>
      <c r="AT129" s="6" t="s">
        <v>81</v>
      </c>
      <c r="AU129" s="6" t="s">
        <v>104</v>
      </c>
      <c r="BK129" s="112">
        <f>$BK$130+$BK$190+$BK$258+$BK$261</f>
        <v>0</v>
      </c>
    </row>
    <row r="130" spans="2:63" s="113" customFormat="1" ht="37.5" customHeight="1">
      <c r="B130" s="114"/>
      <c r="D130" s="115" t="s">
        <v>105</v>
      </c>
      <c r="N130" s="193">
        <f>$BK$130</f>
        <v>0</v>
      </c>
      <c r="O130" s="196"/>
      <c r="P130" s="196"/>
      <c r="Q130" s="196"/>
      <c r="R130" s="117"/>
      <c r="T130" s="118"/>
      <c r="W130" s="119">
        <f>$W$131+$W$136+$W$162</f>
        <v>115.626035</v>
      </c>
      <c r="Y130" s="119">
        <f>$Y$131+$Y$136+$Y$162</f>
        <v>2.71732481</v>
      </c>
      <c r="AA130" s="120">
        <f>$AA$131+$AA$136+$AA$162</f>
        <v>5.120428</v>
      </c>
      <c r="AR130" s="116" t="s">
        <v>21</v>
      </c>
      <c r="AT130" s="116" t="s">
        <v>81</v>
      </c>
      <c r="AU130" s="116" t="s">
        <v>82</v>
      </c>
      <c r="AY130" s="116" t="s">
        <v>145</v>
      </c>
      <c r="BK130" s="121">
        <f>$BK$131+$BK$136+$BK$162</f>
        <v>0</v>
      </c>
    </row>
    <row r="131" spans="2:63" s="113" customFormat="1" ht="21" customHeight="1">
      <c r="B131" s="114"/>
      <c r="D131" s="122" t="s">
        <v>106</v>
      </c>
      <c r="N131" s="195">
        <f>$BK$131</f>
        <v>0</v>
      </c>
      <c r="O131" s="196"/>
      <c r="P131" s="196"/>
      <c r="Q131" s="196"/>
      <c r="R131" s="117"/>
      <c r="T131" s="118"/>
      <c r="W131" s="119">
        <f>SUM($W$132:$W$135)</f>
        <v>12.490389</v>
      </c>
      <c r="Y131" s="119">
        <f>SUM($Y$132:$Y$135)</f>
        <v>2.15881179</v>
      </c>
      <c r="AA131" s="120">
        <f>SUM($AA$132:$AA$135)</f>
        <v>0</v>
      </c>
      <c r="AR131" s="116" t="s">
        <v>21</v>
      </c>
      <c r="AT131" s="116" t="s">
        <v>81</v>
      </c>
      <c r="AU131" s="116" t="s">
        <v>21</v>
      </c>
      <c r="AY131" s="116" t="s">
        <v>145</v>
      </c>
      <c r="BK131" s="121">
        <f>SUM($BK$132:$BK$135)</f>
        <v>0</v>
      </c>
    </row>
    <row r="132" spans="2:64" s="6" customFormat="1" ht="39" customHeight="1">
      <c r="B132" s="22"/>
      <c r="C132" s="123" t="s">
        <v>21</v>
      </c>
      <c r="D132" s="123" t="s">
        <v>146</v>
      </c>
      <c r="E132" s="124" t="s">
        <v>147</v>
      </c>
      <c r="F132" s="205" t="s">
        <v>148</v>
      </c>
      <c r="G132" s="200"/>
      <c r="H132" s="200"/>
      <c r="I132" s="200"/>
      <c r="J132" s="125" t="s">
        <v>149</v>
      </c>
      <c r="K132" s="126">
        <v>3.067</v>
      </c>
      <c r="L132" s="199">
        <v>0</v>
      </c>
      <c r="M132" s="200"/>
      <c r="N132" s="201">
        <f>ROUND($L$132*$K$132,2)</f>
        <v>0</v>
      </c>
      <c r="O132" s="200"/>
      <c r="P132" s="200"/>
      <c r="Q132" s="200"/>
      <c r="R132" s="23"/>
      <c r="T132" s="127"/>
      <c r="U132" s="29" t="s">
        <v>47</v>
      </c>
      <c r="V132" s="128">
        <v>2.767</v>
      </c>
      <c r="W132" s="128">
        <f>$V$132*$K$132</f>
        <v>8.486389</v>
      </c>
      <c r="X132" s="128">
        <v>0.70297</v>
      </c>
      <c r="Y132" s="128">
        <f>$X$132*$K$132</f>
        <v>2.15600899</v>
      </c>
      <c r="Z132" s="128">
        <v>0</v>
      </c>
      <c r="AA132" s="129">
        <f>$Z$132*$K$132</f>
        <v>0</v>
      </c>
      <c r="AR132" s="6" t="s">
        <v>150</v>
      </c>
      <c r="AT132" s="6" t="s">
        <v>146</v>
      </c>
      <c r="AU132" s="6" t="s">
        <v>97</v>
      </c>
      <c r="AY132" s="6" t="s">
        <v>145</v>
      </c>
      <c r="BE132" s="81">
        <f>IF($U$132="základní",$N$132,0)</f>
        <v>0</v>
      </c>
      <c r="BF132" s="81">
        <f>IF($U$132="snížená",$N$132,0)</f>
        <v>0</v>
      </c>
      <c r="BG132" s="81">
        <f>IF($U$132="zákl. přenesená",$N$132,0)</f>
        <v>0</v>
      </c>
      <c r="BH132" s="81">
        <f>IF($U$132="sníž. přenesená",$N$132,0)</f>
        <v>0</v>
      </c>
      <c r="BI132" s="81">
        <f>IF($U$132="nulová",$N$132,0)</f>
        <v>0</v>
      </c>
      <c r="BJ132" s="6" t="s">
        <v>21</v>
      </c>
      <c r="BK132" s="81">
        <f>ROUND($L$132*$K$132,2)</f>
        <v>0</v>
      </c>
      <c r="BL132" s="6" t="s">
        <v>150</v>
      </c>
    </row>
    <row r="133" spans="2:51" s="6" customFormat="1" ht="27" customHeight="1">
      <c r="B133" s="130"/>
      <c r="E133" s="131"/>
      <c r="F133" s="203" t="s">
        <v>151</v>
      </c>
      <c r="G133" s="204"/>
      <c r="H133" s="204"/>
      <c r="I133" s="204"/>
      <c r="K133" s="132">
        <v>3.067</v>
      </c>
      <c r="R133" s="133"/>
      <c r="T133" s="134"/>
      <c r="AA133" s="135"/>
      <c r="AT133" s="131" t="s">
        <v>152</v>
      </c>
      <c r="AU133" s="131" t="s">
        <v>97</v>
      </c>
      <c r="AV133" s="131" t="s">
        <v>97</v>
      </c>
      <c r="AW133" s="131" t="s">
        <v>104</v>
      </c>
      <c r="AX133" s="131" t="s">
        <v>21</v>
      </c>
      <c r="AY133" s="131" t="s">
        <v>145</v>
      </c>
    </row>
    <row r="134" spans="2:64" s="6" customFormat="1" ht="27" customHeight="1">
      <c r="B134" s="22"/>
      <c r="C134" s="123" t="s">
        <v>153</v>
      </c>
      <c r="D134" s="123" t="s">
        <v>146</v>
      </c>
      <c r="E134" s="124" t="s">
        <v>154</v>
      </c>
      <c r="F134" s="205" t="s">
        <v>155</v>
      </c>
      <c r="G134" s="200"/>
      <c r="H134" s="200"/>
      <c r="I134" s="200"/>
      <c r="J134" s="125" t="s">
        <v>156</v>
      </c>
      <c r="K134" s="126">
        <v>20.02</v>
      </c>
      <c r="L134" s="199">
        <v>0</v>
      </c>
      <c r="M134" s="200"/>
      <c r="N134" s="201">
        <f>ROUND($L$134*$K$134,2)</f>
        <v>0</v>
      </c>
      <c r="O134" s="200"/>
      <c r="P134" s="200"/>
      <c r="Q134" s="200"/>
      <c r="R134" s="23"/>
      <c r="T134" s="127"/>
      <c r="U134" s="29" t="s">
        <v>47</v>
      </c>
      <c r="V134" s="128">
        <v>0.2</v>
      </c>
      <c r="W134" s="128">
        <f>$V$134*$K$134</f>
        <v>4.0040000000000004</v>
      </c>
      <c r="X134" s="128">
        <v>0.00014</v>
      </c>
      <c r="Y134" s="128">
        <f>$X$134*$K$134</f>
        <v>0.0028028</v>
      </c>
      <c r="Z134" s="128">
        <v>0</v>
      </c>
      <c r="AA134" s="129">
        <f>$Z$134*$K$134</f>
        <v>0</v>
      </c>
      <c r="AR134" s="6" t="s">
        <v>150</v>
      </c>
      <c r="AT134" s="6" t="s">
        <v>146</v>
      </c>
      <c r="AU134" s="6" t="s">
        <v>97</v>
      </c>
      <c r="AY134" s="6" t="s">
        <v>145</v>
      </c>
      <c r="BE134" s="81">
        <f>IF($U$134="základní",$N$134,0)</f>
        <v>0</v>
      </c>
      <c r="BF134" s="81">
        <f>IF($U$134="snížená",$N$134,0)</f>
        <v>0</v>
      </c>
      <c r="BG134" s="81">
        <f>IF($U$134="zákl. přenesená",$N$134,0)</f>
        <v>0</v>
      </c>
      <c r="BH134" s="81">
        <f>IF($U$134="sníž. přenesená",$N$134,0)</f>
        <v>0</v>
      </c>
      <c r="BI134" s="81">
        <f>IF($U$134="nulová",$N$134,0)</f>
        <v>0</v>
      </c>
      <c r="BJ134" s="6" t="s">
        <v>21</v>
      </c>
      <c r="BK134" s="81">
        <f>ROUND($L$134*$K$134,2)</f>
        <v>0</v>
      </c>
      <c r="BL134" s="6" t="s">
        <v>150</v>
      </c>
    </row>
    <row r="135" spans="2:51" s="6" customFormat="1" ht="15.75" customHeight="1">
      <c r="B135" s="130"/>
      <c r="E135" s="131"/>
      <c r="F135" s="203" t="s">
        <v>157</v>
      </c>
      <c r="G135" s="204"/>
      <c r="H135" s="204"/>
      <c r="I135" s="204"/>
      <c r="K135" s="132">
        <v>20.02</v>
      </c>
      <c r="R135" s="133"/>
      <c r="T135" s="134"/>
      <c r="AA135" s="135"/>
      <c r="AT135" s="131" t="s">
        <v>152</v>
      </c>
      <c r="AU135" s="131" t="s">
        <v>97</v>
      </c>
      <c r="AV135" s="131" t="s">
        <v>97</v>
      </c>
      <c r="AW135" s="131" t="s">
        <v>104</v>
      </c>
      <c r="AX135" s="131" t="s">
        <v>21</v>
      </c>
      <c r="AY135" s="131" t="s">
        <v>145</v>
      </c>
    </row>
    <row r="136" spans="2:63" s="113" customFormat="1" ht="30.75" customHeight="1">
      <c r="B136" s="114"/>
      <c r="D136" s="122" t="s">
        <v>107</v>
      </c>
      <c r="N136" s="195">
        <f>$BK$136</f>
        <v>0</v>
      </c>
      <c r="O136" s="196"/>
      <c r="P136" s="196"/>
      <c r="Q136" s="196"/>
      <c r="R136" s="117"/>
      <c r="T136" s="118"/>
      <c r="W136" s="119">
        <f>SUM($W$137:$W$161)</f>
        <v>25.02789</v>
      </c>
      <c r="Y136" s="119">
        <f>SUM($Y$137:$Y$161)</f>
        <v>0.55694152</v>
      </c>
      <c r="AA136" s="120">
        <f>SUM($AA$137:$AA$161)</f>
        <v>0</v>
      </c>
      <c r="AR136" s="116" t="s">
        <v>21</v>
      </c>
      <c r="AT136" s="116" t="s">
        <v>81</v>
      </c>
      <c r="AU136" s="116" t="s">
        <v>21</v>
      </c>
      <c r="AY136" s="116" t="s">
        <v>145</v>
      </c>
      <c r="BK136" s="121">
        <f>SUM($BK$137:$BK$161)</f>
        <v>0</v>
      </c>
    </row>
    <row r="137" spans="2:64" s="6" customFormat="1" ht="39" customHeight="1">
      <c r="B137" s="22"/>
      <c r="C137" s="123" t="s">
        <v>158</v>
      </c>
      <c r="D137" s="123" t="s">
        <v>146</v>
      </c>
      <c r="E137" s="124" t="s">
        <v>159</v>
      </c>
      <c r="F137" s="205" t="s">
        <v>160</v>
      </c>
      <c r="G137" s="200"/>
      <c r="H137" s="200"/>
      <c r="I137" s="200"/>
      <c r="J137" s="125" t="s">
        <v>161</v>
      </c>
      <c r="K137" s="126">
        <v>3.365</v>
      </c>
      <c r="L137" s="199">
        <v>0</v>
      </c>
      <c r="M137" s="200"/>
      <c r="N137" s="201">
        <f>ROUND($L$137*$K$137,2)</f>
        <v>0</v>
      </c>
      <c r="O137" s="200"/>
      <c r="P137" s="200"/>
      <c r="Q137" s="200"/>
      <c r="R137" s="23"/>
      <c r="T137" s="127"/>
      <c r="U137" s="29" t="s">
        <v>47</v>
      </c>
      <c r="V137" s="128">
        <v>0.373</v>
      </c>
      <c r="W137" s="128">
        <f>$V$137*$K$137</f>
        <v>1.2551450000000002</v>
      </c>
      <c r="X137" s="128">
        <v>0.00238</v>
      </c>
      <c r="Y137" s="128">
        <f>$X$137*$K$137</f>
        <v>0.0080087</v>
      </c>
      <c r="Z137" s="128">
        <v>0</v>
      </c>
      <c r="AA137" s="129">
        <f>$Z$137*$K$137</f>
        <v>0</v>
      </c>
      <c r="AR137" s="6" t="s">
        <v>150</v>
      </c>
      <c r="AT137" s="6" t="s">
        <v>146</v>
      </c>
      <c r="AU137" s="6" t="s">
        <v>97</v>
      </c>
      <c r="AY137" s="6" t="s">
        <v>145</v>
      </c>
      <c r="BE137" s="81">
        <f>IF($U$137="základní",$N$137,0)</f>
        <v>0</v>
      </c>
      <c r="BF137" s="81">
        <f>IF($U$137="snížená",$N$137,0)</f>
        <v>0</v>
      </c>
      <c r="BG137" s="81">
        <f>IF($U$137="zákl. přenesená",$N$137,0)</f>
        <v>0</v>
      </c>
      <c r="BH137" s="81">
        <f>IF($U$137="sníž. přenesená",$N$137,0)</f>
        <v>0</v>
      </c>
      <c r="BI137" s="81">
        <f>IF($U$137="nulová",$N$137,0)</f>
        <v>0</v>
      </c>
      <c r="BJ137" s="6" t="s">
        <v>21</v>
      </c>
      <c r="BK137" s="81">
        <f>ROUND($L$137*$K$137,2)</f>
        <v>0</v>
      </c>
      <c r="BL137" s="6" t="s">
        <v>150</v>
      </c>
    </row>
    <row r="138" spans="2:51" s="6" customFormat="1" ht="15.75" customHeight="1">
      <c r="B138" s="130"/>
      <c r="E138" s="131"/>
      <c r="F138" s="203" t="s">
        <v>162</v>
      </c>
      <c r="G138" s="204"/>
      <c r="H138" s="204"/>
      <c r="I138" s="204"/>
      <c r="K138" s="132">
        <v>3.365</v>
      </c>
      <c r="R138" s="133"/>
      <c r="T138" s="134"/>
      <c r="AA138" s="135"/>
      <c r="AT138" s="131" t="s">
        <v>152</v>
      </c>
      <c r="AU138" s="131" t="s">
        <v>97</v>
      </c>
      <c r="AV138" s="131" t="s">
        <v>97</v>
      </c>
      <c r="AW138" s="131" t="s">
        <v>104</v>
      </c>
      <c r="AX138" s="131" t="s">
        <v>21</v>
      </c>
      <c r="AY138" s="131" t="s">
        <v>145</v>
      </c>
    </row>
    <row r="139" spans="2:64" s="6" customFormat="1" ht="27" customHeight="1">
      <c r="B139" s="22"/>
      <c r="C139" s="123" t="s">
        <v>163</v>
      </c>
      <c r="D139" s="123" t="s">
        <v>146</v>
      </c>
      <c r="E139" s="124" t="s">
        <v>164</v>
      </c>
      <c r="F139" s="205" t="s">
        <v>165</v>
      </c>
      <c r="G139" s="200"/>
      <c r="H139" s="200"/>
      <c r="I139" s="200"/>
      <c r="J139" s="125" t="s">
        <v>161</v>
      </c>
      <c r="K139" s="126">
        <v>13.868</v>
      </c>
      <c r="L139" s="199">
        <v>0</v>
      </c>
      <c r="M139" s="200"/>
      <c r="N139" s="201">
        <f>ROUND($L$139*$K$139,2)</f>
        <v>0</v>
      </c>
      <c r="O139" s="200"/>
      <c r="P139" s="200"/>
      <c r="Q139" s="200"/>
      <c r="R139" s="23"/>
      <c r="T139" s="127"/>
      <c r="U139" s="29" t="s">
        <v>47</v>
      </c>
      <c r="V139" s="128">
        <v>0.36</v>
      </c>
      <c r="W139" s="128">
        <f>$V$139*$K$139</f>
        <v>4.99248</v>
      </c>
      <c r="X139" s="128">
        <v>0.00489</v>
      </c>
      <c r="Y139" s="128">
        <f>$X$139*$K$139</f>
        <v>0.06781452</v>
      </c>
      <c r="Z139" s="128">
        <v>0</v>
      </c>
      <c r="AA139" s="129">
        <f>$Z$139*$K$139</f>
        <v>0</v>
      </c>
      <c r="AR139" s="6" t="s">
        <v>150</v>
      </c>
      <c r="AT139" s="6" t="s">
        <v>146</v>
      </c>
      <c r="AU139" s="6" t="s">
        <v>97</v>
      </c>
      <c r="AY139" s="6" t="s">
        <v>145</v>
      </c>
      <c r="BE139" s="81">
        <f>IF($U$139="základní",$N$139,0)</f>
        <v>0</v>
      </c>
      <c r="BF139" s="81">
        <f>IF($U$139="snížená",$N$139,0)</f>
        <v>0</v>
      </c>
      <c r="BG139" s="81">
        <f>IF($U$139="zákl. přenesená",$N$139,0)</f>
        <v>0</v>
      </c>
      <c r="BH139" s="81">
        <f>IF($U$139="sníž. přenesená",$N$139,0)</f>
        <v>0</v>
      </c>
      <c r="BI139" s="81">
        <f>IF($U$139="nulová",$N$139,0)</f>
        <v>0</v>
      </c>
      <c r="BJ139" s="6" t="s">
        <v>21</v>
      </c>
      <c r="BK139" s="81">
        <f>ROUND($L$139*$K$139,2)</f>
        <v>0</v>
      </c>
      <c r="BL139" s="6" t="s">
        <v>150</v>
      </c>
    </row>
    <row r="140" spans="2:51" s="6" customFormat="1" ht="27" customHeight="1">
      <c r="B140" s="130"/>
      <c r="E140" s="131"/>
      <c r="F140" s="203" t="s">
        <v>166</v>
      </c>
      <c r="G140" s="204"/>
      <c r="H140" s="204"/>
      <c r="I140" s="204"/>
      <c r="K140" s="132">
        <v>13.868</v>
      </c>
      <c r="R140" s="133"/>
      <c r="T140" s="134"/>
      <c r="AA140" s="135"/>
      <c r="AT140" s="131" t="s">
        <v>152</v>
      </c>
      <c r="AU140" s="131" t="s">
        <v>97</v>
      </c>
      <c r="AV140" s="131" t="s">
        <v>97</v>
      </c>
      <c r="AW140" s="131" t="s">
        <v>104</v>
      </c>
      <c r="AX140" s="131" t="s">
        <v>21</v>
      </c>
      <c r="AY140" s="131" t="s">
        <v>145</v>
      </c>
    </row>
    <row r="141" spans="2:51" s="6" customFormat="1" ht="15.75" customHeight="1">
      <c r="B141" s="136"/>
      <c r="E141" s="137"/>
      <c r="F141" s="210" t="s">
        <v>167</v>
      </c>
      <c r="G141" s="211"/>
      <c r="H141" s="211"/>
      <c r="I141" s="211"/>
      <c r="K141" s="138">
        <v>13.868</v>
      </c>
      <c r="R141" s="139"/>
      <c r="T141" s="140"/>
      <c r="AA141" s="141"/>
      <c r="AT141" s="137" t="s">
        <v>152</v>
      </c>
      <c r="AU141" s="137" t="s">
        <v>97</v>
      </c>
      <c r="AV141" s="137" t="s">
        <v>150</v>
      </c>
      <c r="AW141" s="137" t="s">
        <v>104</v>
      </c>
      <c r="AX141" s="137" t="s">
        <v>82</v>
      </c>
      <c r="AY141" s="137" t="s">
        <v>145</v>
      </c>
    </row>
    <row r="142" spans="2:64" s="6" customFormat="1" ht="27" customHeight="1">
      <c r="B142" s="22"/>
      <c r="C142" s="123" t="s">
        <v>168</v>
      </c>
      <c r="D142" s="123" t="s">
        <v>146</v>
      </c>
      <c r="E142" s="124" t="s">
        <v>169</v>
      </c>
      <c r="F142" s="205" t="s">
        <v>170</v>
      </c>
      <c r="G142" s="200"/>
      <c r="H142" s="200"/>
      <c r="I142" s="200"/>
      <c r="J142" s="125" t="s">
        <v>161</v>
      </c>
      <c r="K142" s="126">
        <v>13.868</v>
      </c>
      <c r="L142" s="199">
        <v>0</v>
      </c>
      <c r="M142" s="200"/>
      <c r="N142" s="201">
        <f>ROUND($L$142*$K$142,2)</f>
        <v>0</v>
      </c>
      <c r="O142" s="200"/>
      <c r="P142" s="200"/>
      <c r="Q142" s="200"/>
      <c r="R142" s="23"/>
      <c r="T142" s="127"/>
      <c r="U142" s="29" t="s">
        <v>47</v>
      </c>
      <c r="V142" s="128">
        <v>0.35</v>
      </c>
      <c r="W142" s="128">
        <f>$V$142*$K$142</f>
        <v>4.8538</v>
      </c>
      <c r="X142" s="128">
        <v>0.01313</v>
      </c>
      <c r="Y142" s="128">
        <f>$X$142*$K$142</f>
        <v>0.18208684</v>
      </c>
      <c r="Z142" s="128">
        <v>0</v>
      </c>
      <c r="AA142" s="129">
        <f>$Z$142*$K$142</f>
        <v>0</v>
      </c>
      <c r="AR142" s="6" t="s">
        <v>150</v>
      </c>
      <c r="AT142" s="6" t="s">
        <v>146</v>
      </c>
      <c r="AU142" s="6" t="s">
        <v>97</v>
      </c>
      <c r="AY142" s="6" t="s">
        <v>145</v>
      </c>
      <c r="BE142" s="81">
        <f>IF($U$142="základní",$N$142,0)</f>
        <v>0</v>
      </c>
      <c r="BF142" s="81">
        <f>IF($U$142="snížená",$N$142,0)</f>
        <v>0</v>
      </c>
      <c r="BG142" s="81">
        <f>IF($U$142="zákl. přenesená",$N$142,0)</f>
        <v>0</v>
      </c>
      <c r="BH142" s="81">
        <f>IF($U$142="sníž. přenesená",$N$142,0)</f>
        <v>0</v>
      </c>
      <c r="BI142" s="81">
        <f>IF($U$142="nulová",$N$142,0)</f>
        <v>0</v>
      </c>
      <c r="BJ142" s="6" t="s">
        <v>21</v>
      </c>
      <c r="BK142" s="81">
        <f>ROUND($L$142*$K$142,2)</f>
        <v>0</v>
      </c>
      <c r="BL142" s="6" t="s">
        <v>150</v>
      </c>
    </row>
    <row r="143" spans="2:64" s="6" customFormat="1" ht="27" customHeight="1">
      <c r="B143" s="22"/>
      <c r="C143" s="123" t="s">
        <v>171</v>
      </c>
      <c r="D143" s="123" t="s">
        <v>146</v>
      </c>
      <c r="E143" s="124" t="s">
        <v>172</v>
      </c>
      <c r="F143" s="205" t="s">
        <v>173</v>
      </c>
      <c r="G143" s="200"/>
      <c r="H143" s="200"/>
      <c r="I143" s="200"/>
      <c r="J143" s="125" t="s">
        <v>161</v>
      </c>
      <c r="K143" s="126">
        <v>0.449</v>
      </c>
      <c r="L143" s="199">
        <v>0</v>
      </c>
      <c r="M143" s="200"/>
      <c r="N143" s="201">
        <f>ROUND($L$143*$K$143,2)</f>
        <v>0</v>
      </c>
      <c r="O143" s="200"/>
      <c r="P143" s="200"/>
      <c r="Q143" s="200"/>
      <c r="R143" s="23"/>
      <c r="T143" s="127"/>
      <c r="U143" s="29" t="s">
        <v>47</v>
      </c>
      <c r="V143" s="128">
        <v>1.32</v>
      </c>
      <c r="W143" s="128">
        <f>$V$143*$K$143</f>
        <v>0.5926800000000001</v>
      </c>
      <c r="X143" s="128">
        <v>0.00828</v>
      </c>
      <c r="Y143" s="128">
        <f>$X$143*$K$143</f>
        <v>0.00371772</v>
      </c>
      <c r="Z143" s="128">
        <v>0</v>
      </c>
      <c r="AA143" s="129">
        <f>$Z$143*$K$143</f>
        <v>0</v>
      </c>
      <c r="AR143" s="6" t="s">
        <v>150</v>
      </c>
      <c r="AT143" s="6" t="s">
        <v>146</v>
      </c>
      <c r="AU143" s="6" t="s">
        <v>97</v>
      </c>
      <c r="AY143" s="6" t="s">
        <v>145</v>
      </c>
      <c r="BE143" s="81">
        <f>IF($U$143="základní",$N$143,0)</f>
        <v>0</v>
      </c>
      <c r="BF143" s="81">
        <f>IF($U$143="snížená",$N$143,0)</f>
        <v>0</v>
      </c>
      <c r="BG143" s="81">
        <f>IF($U$143="zákl. přenesená",$N$143,0)</f>
        <v>0</v>
      </c>
      <c r="BH143" s="81">
        <f>IF($U$143="sníž. přenesená",$N$143,0)</f>
        <v>0</v>
      </c>
      <c r="BI143" s="81">
        <f>IF($U$143="nulová",$N$143,0)</f>
        <v>0</v>
      </c>
      <c r="BJ143" s="6" t="s">
        <v>21</v>
      </c>
      <c r="BK143" s="81">
        <f>ROUND($L$143*$K$143,2)</f>
        <v>0</v>
      </c>
      <c r="BL143" s="6" t="s">
        <v>150</v>
      </c>
    </row>
    <row r="144" spans="2:51" s="6" customFormat="1" ht="15.75" customHeight="1">
      <c r="B144" s="130"/>
      <c r="E144" s="131"/>
      <c r="F144" s="203" t="s">
        <v>174</v>
      </c>
      <c r="G144" s="204"/>
      <c r="H144" s="204"/>
      <c r="I144" s="204"/>
      <c r="K144" s="132">
        <v>0.449</v>
      </c>
      <c r="R144" s="133"/>
      <c r="T144" s="134"/>
      <c r="AA144" s="135"/>
      <c r="AT144" s="131" t="s">
        <v>152</v>
      </c>
      <c r="AU144" s="131" t="s">
        <v>97</v>
      </c>
      <c r="AV144" s="131" t="s">
        <v>97</v>
      </c>
      <c r="AW144" s="131" t="s">
        <v>104</v>
      </c>
      <c r="AX144" s="131" t="s">
        <v>21</v>
      </c>
      <c r="AY144" s="131" t="s">
        <v>145</v>
      </c>
    </row>
    <row r="145" spans="2:64" s="6" customFormat="1" ht="27" customHeight="1">
      <c r="B145" s="22"/>
      <c r="C145" s="142" t="s">
        <v>175</v>
      </c>
      <c r="D145" s="142" t="s">
        <v>176</v>
      </c>
      <c r="E145" s="143" t="s">
        <v>177</v>
      </c>
      <c r="F145" s="206" t="s">
        <v>178</v>
      </c>
      <c r="G145" s="207"/>
      <c r="H145" s="207"/>
      <c r="I145" s="207"/>
      <c r="J145" s="144" t="s">
        <v>161</v>
      </c>
      <c r="K145" s="145">
        <v>0.458</v>
      </c>
      <c r="L145" s="208">
        <v>0</v>
      </c>
      <c r="M145" s="207"/>
      <c r="N145" s="209">
        <f>ROUND($L$145*$K$145,2)</f>
        <v>0</v>
      </c>
      <c r="O145" s="200"/>
      <c r="P145" s="200"/>
      <c r="Q145" s="200"/>
      <c r="R145" s="23"/>
      <c r="T145" s="127"/>
      <c r="U145" s="29" t="s">
        <v>47</v>
      </c>
      <c r="V145" s="128">
        <v>0</v>
      </c>
      <c r="W145" s="128">
        <f>$V$145*$K$145</f>
        <v>0</v>
      </c>
      <c r="X145" s="128">
        <v>0.00051</v>
      </c>
      <c r="Y145" s="128">
        <f>$X$145*$K$145</f>
        <v>0.00023358000000000002</v>
      </c>
      <c r="Z145" s="128">
        <v>0</v>
      </c>
      <c r="AA145" s="129">
        <f>$Z$145*$K$145</f>
        <v>0</v>
      </c>
      <c r="AR145" s="6" t="s">
        <v>179</v>
      </c>
      <c r="AT145" s="6" t="s">
        <v>176</v>
      </c>
      <c r="AU145" s="6" t="s">
        <v>97</v>
      </c>
      <c r="AY145" s="6" t="s">
        <v>145</v>
      </c>
      <c r="BE145" s="81">
        <f>IF($U$145="základní",$N$145,0)</f>
        <v>0</v>
      </c>
      <c r="BF145" s="81">
        <f>IF($U$145="snížená",$N$145,0)</f>
        <v>0</v>
      </c>
      <c r="BG145" s="81">
        <f>IF($U$145="zákl. přenesená",$N$145,0)</f>
        <v>0</v>
      </c>
      <c r="BH145" s="81">
        <f>IF($U$145="sníž. přenesená",$N$145,0)</f>
        <v>0</v>
      </c>
      <c r="BI145" s="81">
        <f>IF($U$145="nulová",$N$145,0)</f>
        <v>0</v>
      </c>
      <c r="BJ145" s="6" t="s">
        <v>21</v>
      </c>
      <c r="BK145" s="81">
        <f>ROUND($L$145*$K$145,2)</f>
        <v>0</v>
      </c>
      <c r="BL145" s="6" t="s">
        <v>150</v>
      </c>
    </row>
    <row r="146" spans="2:64" s="6" customFormat="1" ht="27" customHeight="1">
      <c r="B146" s="22"/>
      <c r="C146" s="123" t="s">
        <v>180</v>
      </c>
      <c r="D146" s="123" t="s">
        <v>146</v>
      </c>
      <c r="E146" s="124" t="s">
        <v>181</v>
      </c>
      <c r="F146" s="205" t="s">
        <v>182</v>
      </c>
      <c r="G146" s="200"/>
      <c r="H146" s="200"/>
      <c r="I146" s="200"/>
      <c r="J146" s="125" t="s">
        <v>156</v>
      </c>
      <c r="K146" s="126">
        <v>7.28</v>
      </c>
      <c r="L146" s="199">
        <v>0</v>
      </c>
      <c r="M146" s="200"/>
      <c r="N146" s="201">
        <f>ROUND($L$146*$K$146,2)</f>
        <v>0</v>
      </c>
      <c r="O146" s="200"/>
      <c r="P146" s="200"/>
      <c r="Q146" s="200"/>
      <c r="R146" s="23"/>
      <c r="T146" s="127"/>
      <c r="U146" s="29" t="s">
        <v>47</v>
      </c>
      <c r="V146" s="128">
        <v>0.11</v>
      </c>
      <c r="W146" s="128">
        <f>$V$146*$K$146</f>
        <v>0.8008000000000001</v>
      </c>
      <c r="X146" s="128">
        <v>0</v>
      </c>
      <c r="Y146" s="128">
        <f>$X$146*$K$146</f>
        <v>0</v>
      </c>
      <c r="Z146" s="128">
        <v>0</v>
      </c>
      <c r="AA146" s="129">
        <f>$Z$146*$K$146</f>
        <v>0</v>
      </c>
      <c r="AR146" s="6" t="s">
        <v>150</v>
      </c>
      <c r="AT146" s="6" t="s">
        <v>146</v>
      </c>
      <c r="AU146" s="6" t="s">
        <v>97</v>
      </c>
      <c r="AY146" s="6" t="s">
        <v>145</v>
      </c>
      <c r="BE146" s="81">
        <f>IF($U$146="základní",$N$146,0)</f>
        <v>0</v>
      </c>
      <c r="BF146" s="81">
        <f>IF($U$146="snížená",$N$146,0)</f>
        <v>0</v>
      </c>
      <c r="BG146" s="81">
        <f>IF($U$146="zákl. přenesená",$N$146,0)</f>
        <v>0</v>
      </c>
      <c r="BH146" s="81">
        <f>IF($U$146="sníž. přenesená",$N$146,0)</f>
        <v>0</v>
      </c>
      <c r="BI146" s="81">
        <f>IF($U$146="nulová",$N$146,0)</f>
        <v>0</v>
      </c>
      <c r="BJ146" s="6" t="s">
        <v>21</v>
      </c>
      <c r="BK146" s="81">
        <f>ROUND($L$146*$K$146,2)</f>
        <v>0</v>
      </c>
      <c r="BL146" s="6" t="s">
        <v>150</v>
      </c>
    </row>
    <row r="147" spans="2:51" s="6" customFormat="1" ht="15.75" customHeight="1">
      <c r="B147" s="130"/>
      <c r="E147" s="131"/>
      <c r="F147" s="203" t="s">
        <v>183</v>
      </c>
      <c r="G147" s="204"/>
      <c r="H147" s="204"/>
      <c r="I147" s="204"/>
      <c r="K147" s="132">
        <v>7.28</v>
      </c>
      <c r="R147" s="133"/>
      <c r="T147" s="134"/>
      <c r="AA147" s="135"/>
      <c r="AT147" s="131" t="s">
        <v>152</v>
      </c>
      <c r="AU147" s="131" t="s">
        <v>97</v>
      </c>
      <c r="AV147" s="131" t="s">
        <v>97</v>
      </c>
      <c r="AW147" s="131" t="s">
        <v>104</v>
      </c>
      <c r="AX147" s="131" t="s">
        <v>21</v>
      </c>
      <c r="AY147" s="131" t="s">
        <v>145</v>
      </c>
    </row>
    <row r="148" spans="2:64" s="6" customFormat="1" ht="27" customHeight="1">
      <c r="B148" s="22"/>
      <c r="C148" s="142" t="s">
        <v>184</v>
      </c>
      <c r="D148" s="142" t="s">
        <v>176</v>
      </c>
      <c r="E148" s="143" t="s">
        <v>185</v>
      </c>
      <c r="F148" s="206" t="s">
        <v>186</v>
      </c>
      <c r="G148" s="207"/>
      <c r="H148" s="207"/>
      <c r="I148" s="207"/>
      <c r="J148" s="144" t="s">
        <v>156</v>
      </c>
      <c r="K148" s="145">
        <v>2.51</v>
      </c>
      <c r="L148" s="208">
        <v>0</v>
      </c>
      <c r="M148" s="207"/>
      <c r="N148" s="209">
        <f>ROUND($L$148*$K$148,2)</f>
        <v>0</v>
      </c>
      <c r="O148" s="200"/>
      <c r="P148" s="200"/>
      <c r="Q148" s="200"/>
      <c r="R148" s="23"/>
      <c r="T148" s="127"/>
      <c r="U148" s="29" t="s">
        <v>47</v>
      </c>
      <c r="V148" s="128">
        <v>0</v>
      </c>
      <c r="W148" s="128">
        <f>$V$148*$K$148</f>
        <v>0</v>
      </c>
      <c r="X148" s="128">
        <v>0.0004</v>
      </c>
      <c r="Y148" s="128">
        <f>$X$148*$K$148</f>
        <v>0.001004</v>
      </c>
      <c r="Z148" s="128">
        <v>0</v>
      </c>
      <c r="AA148" s="129">
        <f>$Z$148*$K$148</f>
        <v>0</v>
      </c>
      <c r="AR148" s="6" t="s">
        <v>179</v>
      </c>
      <c r="AT148" s="6" t="s">
        <v>176</v>
      </c>
      <c r="AU148" s="6" t="s">
        <v>97</v>
      </c>
      <c r="AY148" s="6" t="s">
        <v>145</v>
      </c>
      <c r="BE148" s="81">
        <f>IF($U$148="základní",$N$148,0)</f>
        <v>0</v>
      </c>
      <c r="BF148" s="81">
        <f>IF($U$148="snížená",$N$148,0)</f>
        <v>0</v>
      </c>
      <c r="BG148" s="81">
        <f>IF($U$148="zákl. přenesená",$N$148,0)</f>
        <v>0</v>
      </c>
      <c r="BH148" s="81">
        <f>IF($U$148="sníž. přenesená",$N$148,0)</f>
        <v>0</v>
      </c>
      <c r="BI148" s="81">
        <f>IF($U$148="nulová",$N$148,0)</f>
        <v>0</v>
      </c>
      <c r="BJ148" s="6" t="s">
        <v>21</v>
      </c>
      <c r="BK148" s="81">
        <f>ROUND($L$148*$K$148,2)</f>
        <v>0</v>
      </c>
      <c r="BL148" s="6" t="s">
        <v>150</v>
      </c>
    </row>
    <row r="149" spans="2:64" s="6" customFormat="1" ht="15.75" customHeight="1">
      <c r="B149" s="22"/>
      <c r="C149" s="142" t="s">
        <v>187</v>
      </c>
      <c r="D149" s="142" t="s">
        <v>176</v>
      </c>
      <c r="E149" s="143" t="s">
        <v>188</v>
      </c>
      <c r="F149" s="206" t="s">
        <v>189</v>
      </c>
      <c r="G149" s="207"/>
      <c r="H149" s="207"/>
      <c r="I149" s="207"/>
      <c r="J149" s="144" t="s">
        <v>156</v>
      </c>
      <c r="K149" s="145">
        <v>5.135</v>
      </c>
      <c r="L149" s="208">
        <v>0</v>
      </c>
      <c r="M149" s="207"/>
      <c r="N149" s="209">
        <f>ROUND($L$149*$K$149,2)</f>
        <v>0</v>
      </c>
      <c r="O149" s="200"/>
      <c r="P149" s="200"/>
      <c r="Q149" s="200"/>
      <c r="R149" s="23"/>
      <c r="T149" s="127"/>
      <c r="U149" s="29" t="s">
        <v>47</v>
      </c>
      <c r="V149" s="128">
        <v>0</v>
      </c>
      <c r="W149" s="128">
        <f>$V$149*$K$149</f>
        <v>0</v>
      </c>
      <c r="X149" s="128">
        <v>2E-05</v>
      </c>
      <c r="Y149" s="128">
        <f>$X$149*$K$149</f>
        <v>0.0001027</v>
      </c>
      <c r="Z149" s="128">
        <v>0</v>
      </c>
      <c r="AA149" s="129">
        <f>$Z$149*$K$149</f>
        <v>0</v>
      </c>
      <c r="AR149" s="6" t="s">
        <v>179</v>
      </c>
      <c r="AT149" s="6" t="s">
        <v>176</v>
      </c>
      <c r="AU149" s="6" t="s">
        <v>97</v>
      </c>
      <c r="AY149" s="6" t="s">
        <v>145</v>
      </c>
      <c r="BE149" s="81">
        <f>IF($U$149="základní",$N$149,0)</f>
        <v>0</v>
      </c>
      <c r="BF149" s="81">
        <f>IF($U$149="snížená",$N$149,0)</f>
        <v>0</v>
      </c>
      <c r="BG149" s="81">
        <f>IF($U$149="zákl. přenesená",$N$149,0)</f>
        <v>0</v>
      </c>
      <c r="BH149" s="81">
        <f>IF($U$149="sníž. přenesená",$N$149,0)</f>
        <v>0</v>
      </c>
      <c r="BI149" s="81">
        <f>IF($U$149="nulová",$N$149,0)</f>
        <v>0</v>
      </c>
      <c r="BJ149" s="6" t="s">
        <v>21</v>
      </c>
      <c r="BK149" s="81">
        <f>ROUND($L$149*$K$149,2)</f>
        <v>0</v>
      </c>
      <c r="BL149" s="6" t="s">
        <v>150</v>
      </c>
    </row>
    <row r="150" spans="2:51" s="6" customFormat="1" ht="15.75" customHeight="1">
      <c r="B150" s="130"/>
      <c r="E150" s="131"/>
      <c r="F150" s="203" t="s">
        <v>190</v>
      </c>
      <c r="G150" s="204"/>
      <c r="H150" s="204"/>
      <c r="I150" s="204"/>
      <c r="K150" s="132">
        <v>4.89</v>
      </c>
      <c r="R150" s="133"/>
      <c r="T150" s="134"/>
      <c r="AA150" s="135"/>
      <c r="AT150" s="131" t="s">
        <v>152</v>
      </c>
      <c r="AU150" s="131" t="s">
        <v>97</v>
      </c>
      <c r="AV150" s="131" t="s">
        <v>97</v>
      </c>
      <c r="AW150" s="131" t="s">
        <v>104</v>
      </c>
      <c r="AX150" s="131" t="s">
        <v>21</v>
      </c>
      <c r="AY150" s="131" t="s">
        <v>145</v>
      </c>
    </row>
    <row r="151" spans="2:64" s="6" customFormat="1" ht="27" customHeight="1">
      <c r="B151" s="22"/>
      <c r="C151" s="123" t="s">
        <v>191</v>
      </c>
      <c r="D151" s="123" t="s">
        <v>146</v>
      </c>
      <c r="E151" s="124" t="s">
        <v>192</v>
      </c>
      <c r="F151" s="205" t="s">
        <v>193</v>
      </c>
      <c r="G151" s="200"/>
      <c r="H151" s="200"/>
      <c r="I151" s="200"/>
      <c r="J151" s="125" t="s">
        <v>161</v>
      </c>
      <c r="K151" s="126">
        <v>2.916</v>
      </c>
      <c r="L151" s="199">
        <v>0</v>
      </c>
      <c r="M151" s="200"/>
      <c r="N151" s="201">
        <f>ROUND($L$151*$K$151,2)</f>
        <v>0</v>
      </c>
      <c r="O151" s="200"/>
      <c r="P151" s="200"/>
      <c r="Q151" s="200"/>
      <c r="R151" s="23"/>
      <c r="T151" s="127"/>
      <c r="U151" s="29" t="s">
        <v>47</v>
      </c>
      <c r="V151" s="128">
        <v>1</v>
      </c>
      <c r="W151" s="128">
        <f>$V$151*$K$151</f>
        <v>2.916</v>
      </c>
      <c r="X151" s="128">
        <v>0.00825</v>
      </c>
      <c r="Y151" s="128">
        <f>$X$151*$K$151</f>
        <v>0.024057000000000002</v>
      </c>
      <c r="Z151" s="128">
        <v>0</v>
      </c>
      <c r="AA151" s="129">
        <f>$Z$151*$K$151</f>
        <v>0</v>
      </c>
      <c r="AR151" s="6" t="s">
        <v>150</v>
      </c>
      <c r="AT151" s="6" t="s">
        <v>146</v>
      </c>
      <c r="AU151" s="6" t="s">
        <v>97</v>
      </c>
      <c r="AY151" s="6" t="s">
        <v>145</v>
      </c>
      <c r="BE151" s="81">
        <f>IF($U$151="základní",$N$151,0)</f>
        <v>0</v>
      </c>
      <c r="BF151" s="81">
        <f>IF($U$151="snížená",$N$151,0)</f>
        <v>0</v>
      </c>
      <c r="BG151" s="81">
        <f>IF($U$151="zákl. přenesená",$N$151,0)</f>
        <v>0</v>
      </c>
      <c r="BH151" s="81">
        <f>IF($U$151="sníž. přenesená",$N$151,0)</f>
        <v>0</v>
      </c>
      <c r="BI151" s="81">
        <f>IF($U$151="nulová",$N$151,0)</f>
        <v>0</v>
      </c>
      <c r="BJ151" s="6" t="s">
        <v>21</v>
      </c>
      <c r="BK151" s="81">
        <f>ROUND($L$151*$K$151,2)</f>
        <v>0</v>
      </c>
      <c r="BL151" s="6" t="s">
        <v>150</v>
      </c>
    </row>
    <row r="152" spans="2:51" s="6" customFormat="1" ht="15.75" customHeight="1">
      <c r="B152" s="130"/>
      <c r="E152" s="131"/>
      <c r="F152" s="203" t="s">
        <v>194</v>
      </c>
      <c r="G152" s="204"/>
      <c r="H152" s="204"/>
      <c r="I152" s="204"/>
      <c r="K152" s="132">
        <v>2.916</v>
      </c>
      <c r="R152" s="133"/>
      <c r="T152" s="134"/>
      <c r="AA152" s="135"/>
      <c r="AT152" s="131" t="s">
        <v>152</v>
      </c>
      <c r="AU152" s="131" t="s">
        <v>97</v>
      </c>
      <c r="AV152" s="131" t="s">
        <v>97</v>
      </c>
      <c r="AW152" s="131" t="s">
        <v>104</v>
      </c>
      <c r="AX152" s="131" t="s">
        <v>21</v>
      </c>
      <c r="AY152" s="131" t="s">
        <v>145</v>
      </c>
    </row>
    <row r="153" spans="2:64" s="6" customFormat="1" ht="27" customHeight="1">
      <c r="B153" s="22"/>
      <c r="C153" s="142" t="s">
        <v>195</v>
      </c>
      <c r="D153" s="142" t="s">
        <v>176</v>
      </c>
      <c r="E153" s="143" t="s">
        <v>196</v>
      </c>
      <c r="F153" s="206" t="s">
        <v>197</v>
      </c>
      <c r="G153" s="207"/>
      <c r="H153" s="207"/>
      <c r="I153" s="207"/>
      <c r="J153" s="144" t="s">
        <v>161</v>
      </c>
      <c r="K153" s="145">
        <v>2.974</v>
      </c>
      <c r="L153" s="208">
        <v>0</v>
      </c>
      <c r="M153" s="207"/>
      <c r="N153" s="209">
        <f>ROUND($L$153*$K$153,2)</f>
        <v>0</v>
      </c>
      <c r="O153" s="200"/>
      <c r="P153" s="200"/>
      <c r="Q153" s="200"/>
      <c r="R153" s="23"/>
      <c r="T153" s="127"/>
      <c r="U153" s="29" t="s">
        <v>47</v>
      </c>
      <c r="V153" s="128">
        <v>0</v>
      </c>
      <c r="W153" s="128">
        <f>$V$153*$K$153</f>
        <v>0</v>
      </c>
      <c r="X153" s="128">
        <v>0.00069</v>
      </c>
      <c r="Y153" s="128">
        <f>$X$153*$K$153</f>
        <v>0.00205206</v>
      </c>
      <c r="Z153" s="128">
        <v>0</v>
      </c>
      <c r="AA153" s="129">
        <f>$Z$153*$K$153</f>
        <v>0</v>
      </c>
      <c r="AR153" s="6" t="s">
        <v>179</v>
      </c>
      <c r="AT153" s="6" t="s">
        <v>176</v>
      </c>
      <c r="AU153" s="6" t="s">
        <v>97</v>
      </c>
      <c r="AY153" s="6" t="s">
        <v>145</v>
      </c>
      <c r="BE153" s="81">
        <f>IF($U$153="základní",$N$153,0)</f>
        <v>0</v>
      </c>
      <c r="BF153" s="81">
        <f>IF($U$153="snížená",$N$153,0)</f>
        <v>0</v>
      </c>
      <c r="BG153" s="81">
        <f>IF($U$153="zákl. přenesená",$N$153,0)</f>
        <v>0</v>
      </c>
      <c r="BH153" s="81">
        <f>IF($U$153="sníž. přenesená",$N$153,0)</f>
        <v>0</v>
      </c>
      <c r="BI153" s="81">
        <f>IF($U$153="nulová",$N$153,0)</f>
        <v>0</v>
      </c>
      <c r="BJ153" s="6" t="s">
        <v>21</v>
      </c>
      <c r="BK153" s="81">
        <f>ROUND($L$153*$K$153,2)</f>
        <v>0</v>
      </c>
      <c r="BL153" s="6" t="s">
        <v>150</v>
      </c>
    </row>
    <row r="154" spans="2:64" s="6" customFormat="1" ht="27" customHeight="1">
      <c r="B154" s="22"/>
      <c r="C154" s="123" t="s">
        <v>198</v>
      </c>
      <c r="D154" s="123" t="s">
        <v>146</v>
      </c>
      <c r="E154" s="124" t="s">
        <v>199</v>
      </c>
      <c r="F154" s="205" t="s">
        <v>200</v>
      </c>
      <c r="G154" s="200"/>
      <c r="H154" s="200"/>
      <c r="I154" s="200"/>
      <c r="J154" s="125" t="s">
        <v>161</v>
      </c>
      <c r="K154" s="126">
        <v>8.509</v>
      </c>
      <c r="L154" s="199">
        <v>0</v>
      </c>
      <c r="M154" s="200"/>
      <c r="N154" s="201">
        <f>ROUND($L$154*$K$154,2)</f>
        <v>0</v>
      </c>
      <c r="O154" s="200"/>
      <c r="P154" s="200"/>
      <c r="Q154" s="200"/>
      <c r="R154" s="23"/>
      <c r="T154" s="127"/>
      <c r="U154" s="29" t="s">
        <v>47</v>
      </c>
      <c r="V154" s="128">
        <v>0.46</v>
      </c>
      <c r="W154" s="128">
        <f>$V$154*$K$154</f>
        <v>3.91414</v>
      </c>
      <c r="X154" s="128">
        <v>0.02636</v>
      </c>
      <c r="Y154" s="128">
        <f>$X$154*$K$154</f>
        <v>0.22429724</v>
      </c>
      <c r="Z154" s="128">
        <v>0</v>
      </c>
      <c r="AA154" s="129">
        <f>$Z$154*$K$154</f>
        <v>0</v>
      </c>
      <c r="AR154" s="6" t="s">
        <v>150</v>
      </c>
      <c r="AT154" s="6" t="s">
        <v>146</v>
      </c>
      <c r="AU154" s="6" t="s">
        <v>97</v>
      </c>
      <c r="AY154" s="6" t="s">
        <v>145</v>
      </c>
      <c r="BE154" s="81">
        <f>IF($U$154="základní",$N$154,0)</f>
        <v>0</v>
      </c>
      <c r="BF154" s="81">
        <f>IF($U$154="snížená",$N$154,0)</f>
        <v>0</v>
      </c>
      <c r="BG154" s="81">
        <f>IF($U$154="zákl. přenesená",$N$154,0)</f>
        <v>0</v>
      </c>
      <c r="BH154" s="81">
        <f>IF($U$154="sníž. přenesená",$N$154,0)</f>
        <v>0</v>
      </c>
      <c r="BI154" s="81">
        <f>IF($U$154="nulová",$N$154,0)</f>
        <v>0</v>
      </c>
      <c r="BJ154" s="6" t="s">
        <v>21</v>
      </c>
      <c r="BK154" s="81">
        <f>ROUND($L$154*$K$154,2)</f>
        <v>0</v>
      </c>
      <c r="BL154" s="6" t="s">
        <v>150</v>
      </c>
    </row>
    <row r="155" spans="2:51" s="6" customFormat="1" ht="27" customHeight="1">
      <c r="B155" s="130"/>
      <c r="E155" s="131"/>
      <c r="F155" s="203" t="s">
        <v>201</v>
      </c>
      <c r="G155" s="204"/>
      <c r="H155" s="204"/>
      <c r="I155" s="204"/>
      <c r="K155" s="132">
        <v>8.509</v>
      </c>
      <c r="R155" s="133"/>
      <c r="T155" s="134"/>
      <c r="AA155" s="135"/>
      <c r="AT155" s="131" t="s">
        <v>152</v>
      </c>
      <c r="AU155" s="131" t="s">
        <v>97</v>
      </c>
      <c r="AV155" s="131" t="s">
        <v>97</v>
      </c>
      <c r="AW155" s="131" t="s">
        <v>104</v>
      </c>
      <c r="AX155" s="131" t="s">
        <v>21</v>
      </c>
      <c r="AY155" s="131" t="s">
        <v>145</v>
      </c>
    </row>
    <row r="156" spans="2:64" s="6" customFormat="1" ht="27" customHeight="1">
      <c r="B156" s="22"/>
      <c r="C156" s="123" t="s">
        <v>202</v>
      </c>
      <c r="D156" s="123" t="s">
        <v>146</v>
      </c>
      <c r="E156" s="124" t="s">
        <v>203</v>
      </c>
      <c r="F156" s="205" t="s">
        <v>204</v>
      </c>
      <c r="G156" s="200"/>
      <c r="H156" s="200"/>
      <c r="I156" s="200"/>
      <c r="J156" s="125" t="s">
        <v>161</v>
      </c>
      <c r="K156" s="126">
        <v>0.537</v>
      </c>
      <c r="L156" s="199">
        <v>0</v>
      </c>
      <c r="M156" s="200"/>
      <c r="N156" s="201">
        <f>ROUND($L$156*$K$156,2)</f>
        <v>0</v>
      </c>
      <c r="O156" s="200"/>
      <c r="P156" s="200"/>
      <c r="Q156" s="200"/>
      <c r="R156" s="23"/>
      <c r="T156" s="127"/>
      <c r="U156" s="29" t="s">
        <v>47</v>
      </c>
      <c r="V156" s="128">
        <v>0.25</v>
      </c>
      <c r="W156" s="128">
        <f>$V$156*$K$156</f>
        <v>0.13425</v>
      </c>
      <c r="X156" s="128">
        <v>0.00656</v>
      </c>
      <c r="Y156" s="128">
        <f>$X$156*$K$156</f>
        <v>0.00352272</v>
      </c>
      <c r="Z156" s="128">
        <v>0</v>
      </c>
      <c r="AA156" s="129">
        <f>$Z$156*$K$156</f>
        <v>0</v>
      </c>
      <c r="AR156" s="6" t="s">
        <v>150</v>
      </c>
      <c r="AT156" s="6" t="s">
        <v>146</v>
      </c>
      <c r="AU156" s="6" t="s">
        <v>97</v>
      </c>
      <c r="AY156" s="6" t="s">
        <v>145</v>
      </c>
      <c r="BE156" s="81">
        <f>IF($U$156="základní",$N$156,0)</f>
        <v>0</v>
      </c>
      <c r="BF156" s="81">
        <f>IF($U$156="snížená",$N$156,0)</f>
        <v>0</v>
      </c>
      <c r="BG156" s="81">
        <f>IF($U$156="zákl. přenesená",$N$156,0)</f>
        <v>0</v>
      </c>
      <c r="BH156" s="81">
        <f>IF($U$156="sníž. přenesená",$N$156,0)</f>
        <v>0</v>
      </c>
      <c r="BI156" s="81">
        <f>IF($U$156="nulová",$N$156,0)</f>
        <v>0</v>
      </c>
      <c r="BJ156" s="6" t="s">
        <v>21</v>
      </c>
      <c r="BK156" s="81">
        <f>ROUND($L$156*$K$156,2)</f>
        <v>0</v>
      </c>
      <c r="BL156" s="6" t="s">
        <v>150</v>
      </c>
    </row>
    <row r="157" spans="2:64" s="6" customFormat="1" ht="27" customHeight="1">
      <c r="B157" s="22"/>
      <c r="C157" s="123" t="s">
        <v>205</v>
      </c>
      <c r="D157" s="123" t="s">
        <v>146</v>
      </c>
      <c r="E157" s="124" t="s">
        <v>206</v>
      </c>
      <c r="F157" s="205" t="s">
        <v>207</v>
      </c>
      <c r="G157" s="200"/>
      <c r="H157" s="200"/>
      <c r="I157" s="200"/>
      <c r="J157" s="125" t="s">
        <v>161</v>
      </c>
      <c r="K157" s="126">
        <v>3.107</v>
      </c>
      <c r="L157" s="199">
        <v>0</v>
      </c>
      <c r="M157" s="200"/>
      <c r="N157" s="201">
        <f>ROUND($L$157*$K$157,2)</f>
        <v>0</v>
      </c>
      <c r="O157" s="200"/>
      <c r="P157" s="200"/>
      <c r="Q157" s="200"/>
      <c r="R157" s="23"/>
      <c r="T157" s="127"/>
      <c r="U157" s="29" t="s">
        <v>47</v>
      </c>
      <c r="V157" s="128">
        <v>0.245</v>
      </c>
      <c r="W157" s="128">
        <f>$V$157*$K$157</f>
        <v>0.7612150000000001</v>
      </c>
      <c r="X157" s="128">
        <v>0.00268</v>
      </c>
      <c r="Y157" s="128">
        <f>$X$157*$K$157</f>
        <v>0.00832676</v>
      </c>
      <c r="Z157" s="128">
        <v>0</v>
      </c>
      <c r="AA157" s="129">
        <f>$Z$157*$K$157</f>
        <v>0</v>
      </c>
      <c r="AR157" s="6" t="s">
        <v>150</v>
      </c>
      <c r="AT157" s="6" t="s">
        <v>146</v>
      </c>
      <c r="AU157" s="6" t="s">
        <v>97</v>
      </c>
      <c r="AY157" s="6" t="s">
        <v>145</v>
      </c>
      <c r="BE157" s="81">
        <f>IF($U$157="základní",$N$157,0)</f>
        <v>0</v>
      </c>
      <c r="BF157" s="81">
        <f>IF($U$157="snížená",$N$157,0)</f>
        <v>0</v>
      </c>
      <c r="BG157" s="81">
        <f>IF($U$157="zákl. přenesená",$N$157,0)</f>
        <v>0</v>
      </c>
      <c r="BH157" s="81">
        <f>IF($U$157="sníž. přenesená",$N$157,0)</f>
        <v>0</v>
      </c>
      <c r="BI157" s="81">
        <f>IF($U$157="nulová",$N$157,0)</f>
        <v>0</v>
      </c>
      <c r="BJ157" s="6" t="s">
        <v>21</v>
      </c>
      <c r="BK157" s="81">
        <f>ROUND($L$157*$K$157,2)</f>
        <v>0</v>
      </c>
      <c r="BL157" s="6" t="s">
        <v>150</v>
      </c>
    </row>
    <row r="158" spans="2:51" s="6" customFormat="1" ht="15.75" customHeight="1">
      <c r="B158" s="130"/>
      <c r="E158" s="131"/>
      <c r="F158" s="203" t="s">
        <v>208</v>
      </c>
      <c r="G158" s="204"/>
      <c r="H158" s="204"/>
      <c r="I158" s="204"/>
      <c r="K158" s="132">
        <v>3.107</v>
      </c>
      <c r="R158" s="133"/>
      <c r="T158" s="134"/>
      <c r="AA158" s="135"/>
      <c r="AT158" s="131" t="s">
        <v>152</v>
      </c>
      <c r="AU158" s="131" t="s">
        <v>97</v>
      </c>
      <c r="AV158" s="131" t="s">
        <v>97</v>
      </c>
      <c r="AW158" s="131" t="s">
        <v>104</v>
      </c>
      <c r="AX158" s="131" t="s">
        <v>21</v>
      </c>
      <c r="AY158" s="131" t="s">
        <v>145</v>
      </c>
    </row>
    <row r="159" spans="2:64" s="6" customFormat="1" ht="27" customHeight="1">
      <c r="B159" s="22"/>
      <c r="C159" s="123" t="s">
        <v>209</v>
      </c>
      <c r="D159" s="123" t="s">
        <v>146</v>
      </c>
      <c r="E159" s="124" t="s">
        <v>210</v>
      </c>
      <c r="F159" s="205" t="s">
        <v>211</v>
      </c>
      <c r="G159" s="200"/>
      <c r="H159" s="200"/>
      <c r="I159" s="200"/>
      <c r="J159" s="125" t="s">
        <v>161</v>
      </c>
      <c r="K159" s="126">
        <v>76.364</v>
      </c>
      <c r="L159" s="199">
        <v>0</v>
      </c>
      <c r="M159" s="200"/>
      <c r="N159" s="201">
        <f>ROUND($L$159*$K$159,2)</f>
        <v>0</v>
      </c>
      <c r="O159" s="200"/>
      <c r="P159" s="200"/>
      <c r="Q159" s="200"/>
      <c r="R159" s="23"/>
      <c r="T159" s="127"/>
      <c r="U159" s="29" t="s">
        <v>47</v>
      </c>
      <c r="V159" s="128">
        <v>0.06</v>
      </c>
      <c r="W159" s="128">
        <f>$V$159*$K$159</f>
        <v>4.58184</v>
      </c>
      <c r="X159" s="128">
        <v>0.00012</v>
      </c>
      <c r="Y159" s="128">
        <f>$X$159*$K$159</f>
        <v>0.00916368</v>
      </c>
      <c r="Z159" s="128">
        <v>0</v>
      </c>
      <c r="AA159" s="129">
        <f>$Z$159*$K$159</f>
        <v>0</v>
      </c>
      <c r="AR159" s="6" t="s">
        <v>150</v>
      </c>
      <c r="AT159" s="6" t="s">
        <v>146</v>
      </c>
      <c r="AU159" s="6" t="s">
        <v>97</v>
      </c>
      <c r="AY159" s="6" t="s">
        <v>145</v>
      </c>
      <c r="BE159" s="81">
        <f>IF($U$159="základní",$N$159,0)</f>
        <v>0</v>
      </c>
      <c r="BF159" s="81">
        <f>IF($U$159="snížená",$N$159,0)</f>
        <v>0</v>
      </c>
      <c r="BG159" s="81">
        <f>IF($U$159="zákl. přenesená",$N$159,0)</f>
        <v>0</v>
      </c>
      <c r="BH159" s="81">
        <f>IF($U$159="sníž. přenesená",$N$159,0)</f>
        <v>0</v>
      </c>
      <c r="BI159" s="81">
        <f>IF($U$159="nulová",$N$159,0)</f>
        <v>0</v>
      </c>
      <c r="BJ159" s="6" t="s">
        <v>21</v>
      </c>
      <c r="BK159" s="81">
        <f>ROUND($L$159*$K$159,2)</f>
        <v>0</v>
      </c>
      <c r="BL159" s="6" t="s">
        <v>150</v>
      </c>
    </row>
    <row r="160" spans="2:64" s="6" customFormat="1" ht="27" customHeight="1">
      <c r="B160" s="22"/>
      <c r="C160" s="123" t="s">
        <v>212</v>
      </c>
      <c r="D160" s="123" t="s">
        <v>146</v>
      </c>
      <c r="E160" s="124" t="s">
        <v>213</v>
      </c>
      <c r="F160" s="205" t="s">
        <v>214</v>
      </c>
      <c r="G160" s="200"/>
      <c r="H160" s="200"/>
      <c r="I160" s="200"/>
      <c r="J160" s="125" t="s">
        <v>161</v>
      </c>
      <c r="K160" s="126">
        <v>0.537</v>
      </c>
      <c r="L160" s="199">
        <v>0</v>
      </c>
      <c r="M160" s="200"/>
      <c r="N160" s="201">
        <f>ROUND($L$160*$K$160,2)</f>
        <v>0</v>
      </c>
      <c r="O160" s="200"/>
      <c r="P160" s="200"/>
      <c r="Q160" s="200"/>
      <c r="R160" s="23"/>
      <c r="T160" s="127"/>
      <c r="U160" s="29" t="s">
        <v>47</v>
      </c>
      <c r="V160" s="128">
        <v>0.42</v>
      </c>
      <c r="W160" s="128">
        <f>$V$160*$K$160</f>
        <v>0.22554000000000002</v>
      </c>
      <c r="X160" s="128">
        <v>0.042</v>
      </c>
      <c r="Y160" s="128">
        <f>$X$160*$K$160</f>
        <v>0.022554</v>
      </c>
      <c r="Z160" s="128">
        <v>0</v>
      </c>
      <c r="AA160" s="129">
        <f>$Z$160*$K$160</f>
        <v>0</v>
      </c>
      <c r="AR160" s="6" t="s">
        <v>150</v>
      </c>
      <c r="AT160" s="6" t="s">
        <v>146</v>
      </c>
      <c r="AU160" s="6" t="s">
        <v>97</v>
      </c>
      <c r="AY160" s="6" t="s">
        <v>145</v>
      </c>
      <c r="BE160" s="81">
        <f>IF($U$160="základní",$N$160,0)</f>
        <v>0</v>
      </c>
      <c r="BF160" s="81">
        <f>IF($U$160="snížená",$N$160,0)</f>
        <v>0</v>
      </c>
      <c r="BG160" s="81">
        <f>IF($U$160="zákl. přenesená",$N$160,0)</f>
        <v>0</v>
      </c>
      <c r="BH160" s="81">
        <f>IF($U$160="sníž. přenesená",$N$160,0)</f>
        <v>0</v>
      </c>
      <c r="BI160" s="81">
        <f>IF($U$160="nulová",$N$160,0)</f>
        <v>0</v>
      </c>
      <c r="BJ160" s="6" t="s">
        <v>21</v>
      </c>
      <c r="BK160" s="81">
        <f>ROUND($L$160*$K$160,2)</f>
        <v>0</v>
      </c>
      <c r="BL160" s="6" t="s">
        <v>150</v>
      </c>
    </row>
    <row r="161" spans="2:51" s="6" customFormat="1" ht="15.75" customHeight="1">
      <c r="B161" s="130"/>
      <c r="E161" s="131"/>
      <c r="F161" s="203" t="s">
        <v>215</v>
      </c>
      <c r="G161" s="204"/>
      <c r="H161" s="204"/>
      <c r="I161" s="204"/>
      <c r="K161" s="132">
        <v>0.537</v>
      </c>
      <c r="R161" s="133"/>
      <c r="T161" s="134"/>
      <c r="AA161" s="135"/>
      <c r="AT161" s="131" t="s">
        <v>152</v>
      </c>
      <c r="AU161" s="131" t="s">
        <v>97</v>
      </c>
      <c r="AV161" s="131" t="s">
        <v>97</v>
      </c>
      <c r="AW161" s="131" t="s">
        <v>104</v>
      </c>
      <c r="AX161" s="131" t="s">
        <v>21</v>
      </c>
      <c r="AY161" s="131" t="s">
        <v>145</v>
      </c>
    </row>
    <row r="162" spans="2:63" s="113" customFormat="1" ht="30.75" customHeight="1">
      <c r="B162" s="114"/>
      <c r="D162" s="122" t="s">
        <v>108</v>
      </c>
      <c r="N162" s="195">
        <f>$BK$162</f>
        <v>0</v>
      </c>
      <c r="O162" s="196"/>
      <c r="P162" s="196"/>
      <c r="Q162" s="196"/>
      <c r="R162" s="117"/>
      <c r="T162" s="118"/>
      <c r="W162" s="119">
        <f>$W$163+SUM($W$164:$W$183)</f>
        <v>78.107756</v>
      </c>
      <c r="Y162" s="119">
        <f>$Y$163+SUM($Y$164:$Y$183)</f>
        <v>0.0015715</v>
      </c>
      <c r="AA162" s="120">
        <f>$AA$163+SUM($AA$164:$AA$183)</f>
        <v>5.120428</v>
      </c>
      <c r="AR162" s="116" t="s">
        <v>21</v>
      </c>
      <c r="AT162" s="116" t="s">
        <v>81</v>
      </c>
      <c r="AU162" s="116" t="s">
        <v>21</v>
      </c>
      <c r="AY162" s="116" t="s">
        <v>145</v>
      </c>
      <c r="BK162" s="121">
        <f>$BK$163+SUM($BK$164:$BK$183)</f>
        <v>0</v>
      </c>
    </row>
    <row r="163" spans="2:64" s="6" customFormat="1" ht="39" customHeight="1">
      <c r="B163" s="22"/>
      <c r="C163" s="123" t="s">
        <v>216</v>
      </c>
      <c r="D163" s="123" t="s">
        <v>146</v>
      </c>
      <c r="E163" s="124" t="s">
        <v>217</v>
      </c>
      <c r="F163" s="205" t="s">
        <v>218</v>
      </c>
      <c r="G163" s="200"/>
      <c r="H163" s="200"/>
      <c r="I163" s="200"/>
      <c r="J163" s="125" t="s">
        <v>161</v>
      </c>
      <c r="K163" s="126">
        <v>60.12</v>
      </c>
      <c r="L163" s="199">
        <v>0</v>
      </c>
      <c r="M163" s="200"/>
      <c r="N163" s="201">
        <f>ROUND($L$163*$K$163,2)</f>
        <v>0</v>
      </c>
      <c r="O163" s="200"/>
      <c r="P163" s="200"/>
      <c r="Q163" s="200"/>
      <c r="R163" s="23"/>
      <c r="T163" s="127"/>
      <c r="U163" s="29" t="s">
        <v>47</v>
      </c>
      <c r="V163" s="128">
        <v>0.148</v>
      </c>
      <c r="W163" s="128">
        <f>$V$163*$K$163</f>
        <v>8.89776</v>
      </c>
      <c r="X163" s="128">
        <v>0</v>
      </c>
      <c r="Y163" s="128">
        <f>$X$163*$K$163</f>
        <v>0</v>
      </c>
      <c r="Z163" s="128">
        <v>0</v>
      </c>
      <c r="AA163" s="129">
        <f>$Z$163*$K$163</f>
        <v>0</v>
      </c>
      <c r="AR163" s="6" t="s">
        <v>219</v>
      </c>
      <c r="AT163" s="6" t="s">
        <v>146</v>
      </c>
      <c r="AU163" s="6" t="s">
        <v>97</v>
      </c>
      <c r="AY163" s="6" t="s">
        <v>145</v>
      </c>
      <c r="BE163" s="81">
        <f>IF($U$163="základní",$N$163,0)</f>
        <v>0</v>
      </c>
      <c r="BF163" s="81">
        <f>IF($U$163="snížená",$N$163,0)</f>
        <v>0</v>
      </c>
      <c r="BG163" s="81">
        <f>IF($U$163="zákl. přenesená",$N$163,0)</f>
        <v>0</v>
      </c>
      <c r="BH163" s="81">
        <f>IF($U$163="sníž. přenesená",$N$163,0)</f>
        <v>0</v>
      </c>
      <c r="BI163" s="81">
        <f>IF($U$163="nulová",$N$163,0)</f>
        <v>0</v>
      </c>
      <c r="BJ163" s="6" t="s">
        <v>21</v>
      </c>
      <c r="BK163" s="81">
        <f>ROUND($L$163*$K$163,2)</f>
        <v>0</v>
      </c>
      <c r="BL163" s="6" t="s">
        <v>219</v>
      </c>
    </row>
    <row r="164" spans="2:51" s="6" customFormat="1" ht="15.75" customHeight="1">
      <c r="B164" s="130"/>
      <c r="E164" s="131"/>
      <c r="F164" s="203" t="s">
        <v>220</v>
      </c>
      <c r="G164" s="204"/>
      <c r="H164" s="204"/>
      <c r="I164" s="204"/>
      <c r="K164" s="132">
        <v>60.12</v>
      </c>
      <c r="R164" s="133"/>
      <c r="T164" s="134"/>
      <c r="AA164" s="135"/>
      <c r="AT164" s="131" t="s">
        <v>152</v>
      </c>
      <c r="AU164" s="131" t="s">
        <v>97</v>
      </c>
      <c r="AV164" s="131" t="s">
        <v>97</v>
      </c>
      <c r="AW164" s="131" t="s">
        <v>104</v>
      </c>
      <c r="AX164" s="131" t="s">
        <v>21</v>
      </c>
      <c r="AY164" s="131" t="s">
        <v>145</v>
      </c>
    </row>
    <row r="165" spans="2:64" s="6" customFormat="1" ht="39" customHeight="1">
      <c r="B165" s="22"/>
      <c r="C165" s="123" t="s">
        <v>221</v>
      </c>
      <c r="D165" s="123" t="s">
        <v>146</v>
      </c>
      <c r="E165" s="124" t="s">
        <v>222</v>
      </c>
      <c r="F165" s="205" t="s">
        <v>223</v>
      </c>
      <c r="G165" s="200"/>
      <c r="H165" s="200"/>
      <c r="I165" s="200"/>
      <c r="J165" s="125" t="s">
        <v>161</v>
      </c>
      <c r="K165" s="126">
        <v>1803.6</v>
      </c>
      <c r="L165" s="199">
        <v>0</v>
      </c>
      <c r="M165" s="200"/>
      <c r="N165" s="201">
        <f>ROUND($L$165*$K$165,2)</f>
        <v>0</v>
      </c>
      <c r="O165" s="200"/>
      <c r="P165" s="200"/>
      <c r="Q165" s="200"/>
      <c r="R165" s="23"/>
      <c r="T165" s="127"/>
      <c r="U165" s="29" t="s">
        <v>47</v>
      </c>
      <c r="V165" s="128">
        <v>0</v>
      </c>
      <c r="W165" s="128">
        <f>$V$165*$K$165</f>
        <v>0</v>
      </c>
      <c r="X165" s="128">
        <v>0</v>
      </c>
      <c r="Y165" s="128">
        <f>$X$165*$K$165</f>
        <v>0</v>
      </c>
      <c r="Z165" s="128">
        <v>0</v>
      </c>
      <c r="AA165" s="129">
        <f>$Z$165*$K$165</f>
        <v>0</v>
      </c>
      <c r="AR165" s="6" t="s">
        <v>150</v>
      </c>
      <c r="AT165" s="6" t="s">
        <v>146</v>
      </c>
      <c r="AU165" s="6" t="s">
        <v>97</v>
      </c>
      <c r="AY165" s="6" t="s">
        <v>145</v>
      </c>
      <c r="BE165" s="81">
        <f>IF($U$165="základní",$N$165,0)</f>
        <v>0</v>
      </c>
      <c r="BF165" s="81">
        <f>IF($U$165="snížená",$N$165,0)</f>
        <v>0</v>
      </c>
      <c r="BG165" s="81">
        <f>IF($U$165="zákl. přenesená",$N$165,0)</f>
        <v>0</v>
      </c>
      <c r="BH165" s="81">
        <f>IF($U$165="sníž. přenesená",$N$165,0)</f>
        <v>0</v>
      </c>
      <c r="BI165" s="81">
        <f>IF($U$165="nulová",$N$165,0)</f>
        <v>0</v>
      </c>
      <c r="BJ165" s="6" t="s">
        <v>21</v>
      </c>
      <c r="BK165" s="81">
        <f>ROUND($L$165*$K$165,2)</f>
        <v>0</v>
      </c>
      <c r="BL165" s="6" t="s">
        <v>150</v>
      </c>
    </row>
    <row r="166" spans="2:51" s="6" customFormat="1" ht="15.75" customHeight="1">
      <c r="B166" s="130"/>
      <c r="E166" s="131"/>
      <c r="F166" s="203" t="s">
        <v>224</v>
      </c>
      <c r="G166" s="204"/>
      <c r="H166" s="204"/>
      <c r="I166" s="204"/>
      <c r="K166" s="132">
        <v>1803.6</v>
      </c>
      <c r="R166" s="133"/>
      <c r="T166" s="134"/>
      <c r="AA166" s="135"/>
      <c r="AT166" s="131" t="s">
        <v>152</v>
      </c>
      <c r="AU166" s="131" t="s">
        <v>97</v>
      </c>
      <c r="AV166" s="131" t="s">
        <v>97</v>
      </c>
      <c r="AW166" s="131" t="s">
        <v>104</v>
      </c>
      <c r="AX166" s="131" t="s">
        <v>21</v>
      </c>
      <c r="AY166" s="131" t="s">
        <v>145</v>
      </c>
    </row>
    <row r="167" spans="2:64" s="6" customFormat="1" ht="39" customHeight="1">
      <c r="B167" s="22"/>
      <c r="C167" s="123" t="s">
        <v>225</v>
      </c>
      <c r="D167" s="123" t="s">
        <v>146</v>
      </c>
      <c r="E167" s="124" t="s">
        <v>226</v>
      </c>
      <c r="F167" s="205" t="s">
        <v>227</v>
      </c>
      <c r="G167" s="200"/>
      <c r="H167" s="200"/>
      <c r="I167" s="200"/>
      <c r="J167" s="125" t="s">
        <v>161</v>
      </c>
      <c r="K167" s="126">
        <v>60.12</v>
      </c>
      <c r="L167" s="199">
        <v>0</v>
      </c>
      <c r="M167" s="200"/>
      <c r="N167" s="201">
        <f>ROUND($L$167*$K$167,2)</f>
        <v>0</v>
      </c>
      <c r="O167" s="200"/>
      <c r="P167" s="200"/>
      <c r="Q167" s="200"/>
      <c r="R167" s="23"/>
      <c r="T167" s="127"/>
      <c r="U167" s="29" t="s">
        <v>47</v>
      </c>
      <c r="V167" s="128">
        <v>0.091</v>
      </c>
      <c r="W167" s="128">
        <f>$V$167*$K$167</f>
        <v>5.47092</v>
      </c>
      <c r="X167" s="128">
        <v>0</v>
      </c>
      <c r="Y167" s="128">
        <f>$X$167*$K$167</f>
        <v>0</v>
      </c>
      <c r="Z167" s="128">
        <v>0</v>
      </c>
      <c r="AA167" s="129">
        <f>$Z$167*$K$167</f>
        <v>0</v>
      </c>
      <c r="AR167" s="6" t="s">
        <v>150</v>
      </c>
      <c r="AT167" s="6" t="s">
        <v>146</v>
      </c>
      <c r="AU167" s="6" t="s">
        <v>97</v>
      </c>
      <c r="AY167" s="6" t="s">
        <v>145</v>
      </c>
      <c r="BE167" s="81">
        <f>IF($U$167="základní",$N$167,0)</f>
        <v>0</v>
      </c>
      <c r="BF167" s="81">
        <f>IF($U$167="snížená",$N$167,0)</f>
        <v>0</v>
      </c>
      <c r="BG167" s="81">
        <f>IF($U$167="zákl. přenesená",$N$167,0)</f>
        <v>0</v>
      </c>
      <c r="BH167" s="81">
        <f>IF($U$167="sníž. přenesená",$N$167,0)</f>
        <v>0</v>
      </c>
      <c r="BI167" s="81">
        <f>IF($U$167="nulová",$N$167,0)</f>
        <v>0</v>
      </c>
      <c r="BJ167" s="6" t="s">
        <v>21</v>
      </c>
      <c r="BK167" s="81">
        <f>ROUND($L$167*$K$167,2)</f>
        <v>0</v>
      </c>
      <c r="BL167" s="6" t="s">
        <v>150</v>
      </c>
    </row>
    <row r="168" spans="2:64" s="6" customFormat="1" ht="39" customHeight="1">
      <c r="B168" s="22"/>
      <c r="C168" s="123" t="s">
        <v>228</v>
      </c>
      <c r="D168" s="123" t="s">
        <v>146</v>
      </c>
      <c r="E168" s="124" t="s">
        <v>229</v>
      </c>
      <c r="F168" s="205" t="s">
        <v>230</v>
      </c>
      <c r="G168" s="200"/>
      <c r="H168" s="200"/>
      <c r="I168" s="200"/>
      <c r="J168" s="125" t="s">
        <v>161</v>
      </c>
      <c r="K168" s="126">
        <v>2.8</v>
      </c>
      <c r="L168" s="199">
        <v>0</v>
      </c>
      <c r="M168" s="200"/>
      <c r="N168" s="201">
        <f>ROUND($L$168*$K$168,2)</f>
        <v>0</v>
      </c>
      <c r="O168" s="200"/>
      <c r="P168" s="200"/>
      <c r="Q168" s="200"/>
      <c r="R168" s="23"/>
      <c r="T168" s="127"/>
      <c r="U168" s="29" t="s">
        <v>47</v>
      </c>
      <c r="V168" s="128">
        <v>0.105</v>
      </c>
      <c r="W168" s="128">
        <f>$V$168*$K$168</f>
        <v>0.294</v>
      </c>
      <c r="X168" s="128">
        <v>0.00013</v>
      </c>
      <c r="Y168" s="128">
        <f>$X$168*$K$168</f>
        <v>0.00036399999999999996</v>
      </c>
      <c r="Z168" s="128">
        <v>0</v>
      </c>
      <c r="AA168" s="129">
        <f>$Z$168*$K$168</f>
        <v>0</v>
      </c>
      <c r="AR168" s="6" t="s">
        <v>150</v>
      </c>
      <c r="AT168" s="6" t="s">
        <v>146</v>
      </c>
      <c r="AU168" s="6" t="s">
        <v>97</v>
      </c>
      <c r="AY168" s="6" t="s">
        <v>145</v>
      </c>
      <c r="BE168" s="81">
        <f>IF($U$168="základní",$N$168,0)</f>
        <v>0</v>
      </c>
      <c r="BF168" s="81">
        <f>IF($U$168="snížená",$N$168,0)</f>
        <v>0</v>
      </c>
      <c r="BG168" s="81">
        <f>IF($U$168="zákl. přenesená",$N$168,0)</f>
        <v>0</v>
      </c>
      <c r="BH168" s="81">
        <f>IF($U$168="sníž. přenesená",$N$168,0)</f>
        <v>0</v>
      </c>
      <c r="BI168" s="81">
        <f>IF($U$168="nulová",$N$168,0)</f>
        <v>0</v>
      </c>
      <c r="BJ168" s="6" t="s">
        <v>21</v>
      </c>
      <c r="BK168" s="81">
        <f>ROUND($L$168*$K$168,2)</f>
        <v>0</v>
      </c>
      <c r="BL168" s="6" t="s">
        <v>150</v>
      </c>
    </row>
    <row r="169" spans="2:64" s="6" customFormat="1" ht="27" customHeight="1">
      <c r="B169" s="22"/>
      <c r="C169" s="123" t="s">
        <v>231</v>
      </c>
      <c r="D169" s="123" t="s">
        <v>146</v>
      </c>
      <c r="E169" s="124" t="s">
        <v>232</v>
      </c>
      <c r="F169" s="205" t="s">
        <v>233</v>
      </c>
      <c r="G169" s="200"/>
      <c r="H169" s="200"/>
      <c r="I169" s="200"/>
      <c r="J169" s="125" t="s">
        <v>161</v>
      </c>
      <c r="K169" s="126">
        <v>5.75</v>
      </c>
      <c r="L169" s="199">
        <v>0</v>
      </c>
      <c r="M169" s="200"/>
      <c r="N169" s="201">
        <f>ROUND($L$169*$K$169,2)</f>
        <v>0</v>
      </c>
      <c r="O169" s="200"/>
      <c r="P169" s="200"/>
      <c r="Q169" s="200"/>
      <c r="R169" s="23"/>
      <c r="T169" s="127"/>
      <c r="U169" s="29" t="s">
        <v>47</v>
      </c>
      <c r="V169" s="128">
        <v>0.126</v>
      </c>
      <c r="W169" s="128">
        <f>$V$169*$K$169</f>
        <v>0.7245</v>
      </c>
      <c r="X169" s="128">
        <v>0.00021</v>
      </c>
      <c r="Y169" s="128">
        <f>$X$169*$K$169</f>
        <v>0.0012075</v>
      </c>
      <c r="Z169" s="128">
        <v>0</v>
      </c>
      <c r="AA169" s="129">
        <f>$Z$169*$K$169</f>
        <v>0</v>
      </c>
      <c r="AR169" s="6" t="s">
        <v>150</v>
      </c>
      <c r="AT169" s="6" t="s">
        <v>146</v>
      </c>
      <c r="AU169" s="6" t="s">
        <v>97</v>
      </c>
      <c r="AY169" s="6" t="s">
        <v>145</v>
      </c>
      <c r="BE169" s="81">
        <f>IF($U$169="základní",$N$169,0)</f>
        <v>0</v>
      </c>
      <c r="BF169" s="81">
        <f>IF($U$169="snížená",$N$169,0)</f>
        <v>0</v>
      </c>
      <c r="BG169" s="81">
        <f>IF($U$169="zákl. přenesená",$N$169,0)</f>
        <v>0</v>
      </c>
      <c r="BH169" s="81">
        <f>IF($U$169="sníž. přenesená",$N$169,0)</f>
        <v>0</v>
      </c>
      <c r="BI169" s="81">
        <f>IF($U$169="nulová",$N$169,0)</f>
        <v>0</v>
      </c>
      <c r="BJ169" s="6" t="s">
        <v>21</v>
      </c>
      <c r="BK169" s="81">
        <f>ROUND($L$169*$K$169,2)</f>
        <v>0</v>
      </c>
      <c r="BL169" s="6" t="s">
        <v>150</v>
      </c>
    </row>
    <row r="170" spans="2:51" s="6" customFormat="1" ht="15.75" customHeight="1">
      <c r="B170" s="130"/>
      <c r="E170" s="131"/>
      <c r="F170" s="203" t="s">
        <v>234</v>
      </c>
      <c r="G170" s="204"/>
      <c r="H170" s="204"/>
      <c r="I170" s="204"/>
      <c r="K170" s="132">
        <v>5.75</v>
      </c>
      <c r="R170" s="133"/>
      <c r="T170" s="134"/>
      <c r="AA170" s="135"/>
      <c r="AT170" s="131" t="s">
        <v>152</v>
      </c>
      <c r="AU170" s="131" t="s">
        <v>97</v>
      </c>
      <c r="AV170" s="131" t="s">
        <v>97</v>
      </c>
      <c r="AW170" s="131" t="s">
        <v>104</v>
      </c>
      <c r="AX170" s="131" t="s">
        <v>21</v>
      </c>
      <c r="AY170" s="131" t="s">
        <v>145</v>
      </c>
    </row>
    <row r="171" spans="2:64" s="6" customFormat="1" ht="15.75" customHeight="1">
      <c r="B171" s="22"/>
      <c r="C171" s="123" t="s">
        <v>235</v>
      </c>
      <c r="D171" s="123" t="s">
        <v>146</v>
      </c>
      <c r="E171" s="124" t="s">
        <v>236</v>
      </c>
      <c r="F171" s="205" t="s">
        <v>237</v>
      </c>
      <c r="G171" s="200"/>
      <c r="H171" s="200"/>
      <c r="I171" s="200"/>
      <c r="J171" s="125" t="s">
        <v>161</v>
      </c>
      <c r="K171" s="126">
        <v>177.88</v>
      </c>
      <c r="L171" s="199">
        <v>0</v>
      </c>
      <c r="M171" s="200"/>
      <c r="N171" s="201">
        <f>ROUND($L$171*$K$171,2)</f>
        <v>0</v>
      </c>
      <c r="O171" s="200"/>
      <c r="P171" s="200"/>
      <c r="Q171" s="200"/>
      <c r="R171" s="23"/>
      <c r="T171" s="127"/>
      <c r="U171" s="29" t="s">
        <v>47</v>
      </c>
      <c r="V171" s="128">
        <v>0.009</v>
      </c>
      <c r="W171" s="128">
        <f>$V$171*$K$171</f>
        <v>1.60092</v>
      </c>
      <c r="X171" s="128">
        <v>0</v>
      </c>
      <c r="Y171" s="128">
        <f>$X$171*$K$171</f>
        <v>0</v>
      </c>
      <c r="Z171" s="128">
        <v>0</v>
      </c>
      <c r="AA171" s="129">
        <f>$Z$171*$K$171</f>
        <v>0</v>
      </c>
      <c r="AR171" s="6" t="s">
        <v>150</v>
      </c>
      <c r="AT171" s="6" t="s">
        <v>146</v>
      </c>
      <c r="AU171" s="6" t="s">
        <v>97</v>
      </c>
      <c r="AY171" s="6" t="s">
        <v>145</v>
      </c>
      <c r="BE171" s="81">
        <f>IF($U$171="základní",$N$171,0)</f>
        <v>0</v>
      </c>
      <c r="BF171" s="81">
        <f>IF($U$171="snížená",$N$171,0)</f>
        <v>0</v>
      </c>
      <c r="BG171" s="81">
        <f>IF($U$171="zákl. přenesená",$N$171,0)</f>
        <v>0</v>
      </c>
      <c r="BH171" s="81">
        <f>IF($U$171="sníž. přenesená",$N$171,0)</f>
        <v>0</v>
      </c>
      <c r="BI171" s="81">
        <f>IF($U$171="nulová",$N$171,0)</f>
        <v>0</v>
      </c>
      <c r="BJ171" s="6" t="s">
        <v>21</v>
      </c>
      <c r="BK171" s="81">
        <f>ROUND($L$171*$K$171,2)</f>
        <v>0</v>
      </c>
      <c r="BL171" s="6" t="s">
        <v>150</v>
      </c>
    </row>
    <row r="172" spans="2:51" s="6" customFormat="1" ht="15.75" customHeight="1">
      <c r="B172" s="130"/>
      <c r="E172" s="131"/>
      <c r="F172" s="203" t="s">
        <v>238</v>
      </c>
      <c r="G172" s="204"/>
      <c r="H172" s="204"/>
      <c r="I172" s="204"/>
      <c r="K172" s="132">
        <v>177.88</v>
      </c>
      <c r="R172" s="133"/>
      <c r="T172" s="134"/>
      <c r="AA172" s="135"/>
      <c r="AT172" s="131" t="s">
        <v>152</v>
      </c>
      <c r="AU172" s="131" t="s">
        <v>97</v>
      </c>
      <c r="AV172" s="131" t="s">
        <v>97</v>
      </c>
      <c r="AW172" s="131" t="s">
        <v>104</v>
      </c>
      <c r="AX172" s="131" t="s">
        <v>21</v>
      </c>
      <c r="AY172" s="131" t="s">
        <v>145</v>
      </c>
    </row>
    <row r="173" spans="2:64" s="6" customFormat="1" ht="27" customHeight="1">
      <c r="B173" s="22"/>
      <c r="C173" s="123" t="s">
        <v>97</v>
      </c>
      <c r="D173" s="123" t="s">
        <v>146</v>
      </c>
      <c r="E173" s="124" t="s">
        <v>239</v>
      </c>
      <c r="F173" s="205" t="s">
        <v>240</v>
      </c>
      <c r="G173" s="200"/>
      <c r="H173" s="200"/>
      <c r="I173" s="200"/>
      <c r="J173" s="125" t="s">
        <v>161</v>
      </c>
      <c r="K173" s="126">
        <v>1.82</v>
      </c>
      <c r="L173" s="199">
        <v>0</v>
      </c>
      <c r="M173" s="200"/>
      <c r="N173" s="201">
        <f>ROUND($L$173*$K$173,2)</f>
        <v>0</v>
      </c>
      <c r="O173" s="200"/>
      <c r="P173" s="200"/>
      <c r="Q173" s="200"/>
      <c r="R173" s="23"/>
      <c r="T173" s="127"/>
      <c r="U173" s="29" t="s">
        <v>47</v>
      </c>
      <c r="V173" s="128">
        <v>0.471</v>
      </c>
      <c r="W173" s="128">
        <f>$V$173*$K$173</f>
        <v>0.85722</v>
      </c>
      <c r="X173" s="128">
        <v>0</v>
      </c>
      <c r="Y173" s="128">
        <f>$X$173*$K$173</f>
        <v>0</v>
      </c>
      <c r="Z173" s="128">
        <v>0.038</v>
      </c>
      <c r="AA173" s="129">
        <f>$Z$173*$K$173</f>
        <v>0.06916</v>
      </c>
      <c r="AR173" s="6" t="s">
        <v>150</v>
      </c>
      <c r="AT173" s="6" t="s">
        <v>146</v>
      </c>
      <c r="AU173" s="6" t="s">
        <v>97</v>
      </c>
      <c r="AY173" s="6" t="s">
        <v>145</v>
      </c>
      <c r="BE173" s="81">
        <f>IF($U$173="základní",$N$173,0)</f>
        <v>0</v>
      </c>
      <c r="BF173" s="81">
        <f>IF($U$173="snížená",$N$173,0)</f>
        <v>0</v>
      </c>
      <c r="BG173" s="81">
        <f>IF($U$173="zákl. přenesená",$N$173,0)</f>
        <v>0</v>
      </c>
      <c r="BH173" s="81">
        <f>IF($U$173="sníž. přenesená",$N$173,0)</f>
        <v>0</v>
      </c>
      <c r="BI173" s="81">
        <f>IF($U$173="nulová",$N$173,0)</f>
        <v>0</v>
      </c>
      <c r="BJ173" s="6" t="s">
        <v>21</v>
      </c>
      <c r="BK173" s="81">
        <f>ROUND($L$173*$K$173,2)</f>
        <v>0</v>
      </c>
      <c r="BL173" s="6" t="s">
        <v>150</v>
      </c>
    </row>
    <row r="174" spans="2:51" s="6" customFormat="1" ht="15.75" customHeight="1">
      <c r="B174" s="130"/>
      <c r="E174" s="131"/>
      <c r="F174" s="203" t="s">
        <v>241</v>
      </c>
      <c r="G174" s="204"/>
      <c r="H174" s="204"/>
      <c r="I174" s="204"/>
      <c r="K174" s="132">
        <v>1.82</v>
      </c>
      <c r="R174" s="133"/>
      <c r="T174" s="134"/>
      <c r="AA174" s="135"/>
      <c r="AT174" s="131" t="s">
        <v>152</v>
      </c>
      <c r="AU174" s="131" t="s">
        <v>97</v>
      </c>
      <c r="AV174" s="131" t="s">
        <v>97</v>
      </c>
      <c r="AW174" s="131" t="s">
        <v>104</v>
      </c>
      <c r="AX174" s="131" t="s">
        <v>21</v>
      </c>
      <c r="AY174" s="131" t="s">
        <v>145</v>
      </c>
    </row>
    <row r="175" spans="2:64" s="6" customFormat="1" ht="27" customHeight="1">
      <c r="B175" s="22"/>
      <c r="C175" s="123" t="s">
        <v>242</v>
      </c>
      <c r="D175" s="123" t="s">
        <v>146</v>
      </c>
      <c r="E175" s="124" t="s">
        <v>243</v>
      </c>
      <c r="F175" s="205" t="s">
        <v>244</v>
      </c>
      <c r="G175" s="200"/>
      <c r="H175" s="200"/>
      <c r="I175" s="200"/>
      <c r="J175" s="125" t="s">
        <v>161</v>
      </c>
      <c r="K175" s="126">
        <v>5.664</v>
      </c>
      <c r="L175" s="199">
        <v>0</v>
      </c>
      <c r="M175" s="200"/>
      <c r="N175" s="201">
        <f>ROUND($L$175*$K$175,2)</f>
        <v>0</v>
      </c>
      <c r="O175" s="200"/>
      <c r="P175" s="200"/>
      <c r="Q175" s="200"/>
      <c r="R175" s="23"/>
      <c r="T175" s="127"/>
      <c r="U175" s="29" t="s">
        <v>47</v>
      </c>
      <c r="V175" s="128">
        <v>0.938</v>
      </c>
      <c r="W175" s="128">
        <f>$V$175*$K$175</f>
        <v>5.312831999999999</v>
      </c>
      <c r="X175" s="128">
        <v>0</v>
      </c>
      <c r="Y175" s="128">
        <f>$X$175*$K$175</f>
        <v>0</v>
      </c>
      <c r="Z175" s="128">
        <v>0.061</v>
      </c>
      <c r="AA175" s="129">
        <f>$Z$175*$K$175</f>
        <v>0.345504</v>
      </c>
      <c r="AR175" s="6" t="s">
        <v>150</v>
      </c>
      <c r="AT175" s="6" t="s">
        <v>146</v>
      </c>
      <c r="AU175" s="6" t="s">
        <v>97</v>
      </c>
      <c r="AY175" s="6" t="s">
        <v>145</v>
      </c>
      <c r="BE175" s="81">
        <f>IF($U$175="základní",$N$175,0)</f>
        <v>0</v>
      </c>
      <c r="BF175" s="81">
        <f>IF($U$175="snížená",$N$175,0)</f>
        <v>0</v>
      </c>
      <c r="BG175" s="81">
        <f>IF($U$175="zákl. přenesená",$N$175,0)</f>
        <v>0</v>
      </c>
      <c r="BH175" s="81">
        <f>IF($U$175="sníž. přenesená",$N$175,0)</f>
        <v>0</v>
      </c>
      <c r="BI175" s="81">
        <f>IF($U$175="nulová",$N$175,0)</f>
        <v>0</v>
      </c>
      <c r="BJ175" s="6" t="s">
        <v>21</v>
      </c>
      <c r="BK175" s="81">
        <f>ROUND($L$175*$K$175,2)</f>
        <v>0</v>
      </c>
      <c r="BL175" s="6" t="s">
        <v>150</v>
      </c>
    </row>
    <row r="176" spans="2:51" s="6" customFormat="1" ht="15.75" customHeight="1">
      <c r="B176" s="130"/>
      <c r="E176" s="131"/>
      <c r="F176" s="203" t="s">
        <v>245</v>
      </c>
      <c r="G176" s="204"/>
      <c r="H176" s="204"/>
      <c r="I176" s="204"/>
      <c r="K176" s="132">
        <v>5.664</v>
      </c>
      <c r="R176" s="133"/>
      <c r="T176" s="134"/>
      <c r="AA176" s="135"/>
      <c r="AT176" s="131" t="s">
        <v>152</v>
      </c>
      <c r="AU176" s="131" t="s">
        <v>97</v>
      </c>
      <c r="AV176" s="131" t="s">
        <v>97</v>
      </c>
      <c r="AW176" s="131" t="s">
        <v>104</v>
      </c>
      <c r="AX176" s="131" t="s">
        <v>21</v>
      </c>
      <c r="AY176" s="131" t="s">
        <v>145</v>
      </c>
    </row>
    <row r="177" spans="2:64" s="6" customFormat="1" ht="27" customHeight="1">
      <c r="B177" s="22"/>
      <c r="C177" s="123" t="s">
        <v>150</v>
      </c>
      <c r="D177" s="123" t="s">
        <v>146</v>
      </c>
      <c r="E177" s="124" t="s">
        <v>246</v>
      </c>
      <c r="F177" s="205" t="s">
        <v>247</v>
      </c>
      <c r="G177" s="200"/>
      <c r="H177" s="200"/>
      <c r="I177" s="200"/>
      <c r="J177" s="125" t="s">
        <v>161</v>
      </c>
      <c r="K177" s="126">
        <v>32.486</v>
      </c>
      <c r="L177" s="199">
        <v>0</v>
      </c>
      <c r="M177" s="200"/>
      <c r="N177" s="201">
        <f>ROUND($L$177*$K$177,2)</f>
        <v>0</v>
      </c>
      <c r="O177" s="200"/>
      <c r="P177" s="200"/>
      <c r="Q177" s="200"/>
      <c r="R177" s="23"/>
      <c r="T177" s="127"/>
      <c r="U177" s="29" t="s">
        <v>47</v>
      </c>
      <c r="V177" s="128">
        <v>0.516</v>
      </c>
      <c r="W177" s="128">
        <f>$V$177*$K$177</f>
        <v>16.762776</v>
      </c>
      <c r="X177" s="128">
        <v>0</v>
      </c>
      <c r="Y177" s="128">
        <f>$X$177*$K$177</f>
        <v>0</v>
      </c>
      <c r="Z177" s="128">
        <v>0.05</v>
      </c>
      <c r="AA177" s="129">
        <f>$Z$177*$K$177</f>
        <v>1.6242999999999999</v>
      </c>
      <c r="AR177" s="6" t="s">
        <v>150</v>
      </c>
      <c r="AT177" s="6" t="s">
        <v>146</v>
      </c>
      <c r="AU177" s="6" t="s">
        <v>97</v>
      </c>
      <c r="AY177" s="6" t="s">
        <v>145</v>
      </c>
      <c r="BE177" s="81">
        <f>IF($U$177="základní",$N$177,0)</f>
        <v>0</v>
      </c>
      <c r="BF177" s="81">
        <f>IF($U$177="snížená",$N$177,0)</f>
        <v>0</v>
      </c>
      <c r="BG177" s="81">
        <f>IF($U$177="zákl. přenesená",$N$177,0)</f>
        <v>0</v>
      </c>
      <c r="BH177" s="81">
        <f>IF($U$177="sníž. přenesená",$N$177,0)</f>
        <v>0</v>
      </c>
      <c r="BI177" s="81">
        <f>IF($U$177="nulová",$N$177,0)</f>
        <v>0</v>
      </c>
      <c r="BJ177" s="6" t="s">
        <v>21</v>
      </c>
      <c r="BK177" s="81">
        <f>ROUND($L$177*$K$177,2)</f>
        <v>0</v>
      </c>
      <c r="BL177" s="6" t="s">
        <v>150</v>
      </c>
    </row>
    <row r="178" spans="2:51" s="6" customFormat="1" ht="15.75" customHeight="1">
      <c r="B178" s="130"/>
      <c r="E178" s="131"/>
      <c r="F178" s="203" t="s">
        <v>248</v>
      </c>
      <c r="G178" s="204"/>
      <c r="H178" s="204"/>
      <c r="I178" s="204"/>
      <c r="K178" s="132">
        <v>32.486</v>
      </c>
      <c r="R178" s="133"/>
      <c r="T178" s="134"/>
      <c r="AA178" s="135"/>
      <c r="AT178" s="131" t="s">
        <v>152</v>
      </c>
      <c r="AU178" s="131" t="s">
        <v>97</v>
      </c>
      <c r="AV178" s="131" t="s">
        <v>97</v>
      </c>
      <c r="AW178" s="131" t="s">
        <v>104</v>
      </c>
      <c r="AX178" s="131" t="s">
        <v>21</v>
      </c>
      <c r="AY178" s="131" t="s">
        <v>145</v>
      </c>
    </row>
    <row r="179" spans="2:64" s="6" customFormat="1" ht="27" customHeight="1">
      <c r="B179" s="22"/>
      <c r="C179" s="123" t="s">
        <v>249</v>
      </c>
      <c r="D179" s="123" t="s">
        <v>146</v>
      </c>
      <c r="E179" s="124" t="s">
        <v>250</v>
      </c>
      <c r="F179" s="205" t="s">
        <v>251</v>
      </c>
      <c r="G179" s="200"/>
      <c r="H179" s="200"/>
      <c r="I179" s="200"/>
      <c r="J179" s="125" t="s">
        <v>161</v>
      </c>
      <c r="K179" s="126">
        <v>1.91</v>
      </c>
      <c r="L179" s="199">
        <v>0</v>
      </c>
      <c r="M179" s="200"/>
      <c r="N179" s="201">
        <f>ROUND($L$179*$K$179,2)</f>
        <v>0</v>
      </c>
      <c r="O179" s="200"/>
      <c r="P179" s="200"/>
      <c r="Q179" s="200"/>
      <c r="R179" s="23"/>
      <c r="T179" s="127"/>
      <c r="U179" s="29" t="s">
        <v>47</v>
      </c>
      <c r="V179" s="128">
        <v>0.939</v>
      </c>
      <c r="W179" s="128">
        <f>$V$179*$K$179</f>
        <v>1.7934899999999998</v>
      </c>
      <c r="X179" s="128">
        <v>0</v>
      </c>
      <c r="Y179" s="128">
        <f>$X$179*$K$179</f>
        <v>0</v>
      </c>
      <c r="Z179" s="128">
        <v>0.076</v>
      </c>
      <c r="AA179" s="129">
        <f>$Z$179*$K$179</f>
        <v>0.14515999999999998</v>
      </c>
      <c r="AR179" s="6" t="s">
        <v>150</v>
      </c>
      <c r="AT179" s="6" t="s">
        <v>146</v>
      </c>
      <c r="AU179" s="6" t="s">
        <v>97</v>
      </c>
      <c r="AY179" s="6" t="s">
        <v>145</v>
      </c>
      <c r="BE179" s="81">
        <f>IF($U$179="základní",$N$179,0)</f>
        <v>0</v>
      </c>
      <c r="BF179" s="81">
        <f>IF($U$179="snížená",$N$179,0)</f>
        <v>0</v>
      </c>
      <c r="BG179" s="81">
        <f>IF($U$179="zákl. přenesená",$N$179,0)</f>
        <v>0</v>
      </c>
      <c r="BH179" s="81">
        <f>IF($U$179="sníž. přenesená",$N$179,0)</f>
        <v>0</v>
      </c>
      <c r="BI179" s="81">
        <f>IF($U$179="nulová",$N$179,0)</f>
        <v>0</v>
      </c>
      <c r="BJ179" s="6" t="s">
        <v>21</v>
      </c>
      <c r="BK179" s="81">
        <f>ROUND($L$179*$K$179,2)</f>
        <v>0</v>
      </c>
      <c r="BL179" s="6" t="s">
        <v>150</v>
      </c>
    </row>
    <row r="180" spans="2:51" s="6" customFormat="1" ht="15.75" customHeight="1">
      <c r="B180" s="130"/>
      <c r="E180" s="131"/>
      <c r="F180" s="203" t="s">
        <v>252</v>
      </c>
      <c r="G180" s="204"/>
      <c r="H180" s="204"/>
      <c r="I180" s="204"/>
      <c r="K180" s="132">
        <v>1.91</v>
      </c>
      <c r="R180" s="133"/>
      <c r="T180" s="134"/>
      <c r="AA180" s="135"/>
      <c r="AT180" s="131" t="s">
        <v>152</v>
      </c>
      <c r="AU180" s="131" t="s">
        <v>97</v>
      </c>
      <c r="AV180" s="131" t="s">
        <v>97</v>
      </c>
      <c r="AW180" s="131" t="s">
        <v>104</v>
      </c>
      <c r="AX180" s="131" t="s">
        <v>21</v>
      </c>
      <c r="AY180" s="131" t="s">
        <v>145</v>
      </c>
    </row>
    <row r="181" spans="2:64" s="6" customFormat="1" ht="27" customHeight="1">
      <c r="B181" s="22"/>
      <c r="C181" s="123" t="s">
        <v>253</v>
      </c>
      <c r="D181" s="123" t="s">
        <v>146</v>
      </c>
      <c r="E181" s="124" t="s">
        <v>254</v>
      </c>
      <c r="F181" s="205" t="s">
        <v>255</v>
      </c>
      <c r="G181" s="200"/>
      <c r="H181" s="200"/>
      <c r="I181" s="200"/>
      <c r="J181" s="125" t="s">
        <v>161</v>
      </c>
      <c r="K181" s="126">
        <v>46.608</v>
      </c>
      <c r="L181" s="199">
        <v>0</v>
      </c>
      <c r="M181" s="200"/>
      <c r="N181" s="201">
        <f>ROUND($L$181*$K$181,2)</f>
        <v>0</v>
      </c>
      <c r="O181" s="200"/>
      <c r="P181" s="200"/>
      <c r="Q181" s="200"/>
      <c r="R181" s="23"/>
      <c r="T181" s="127"/>
      <c r="U181" s="29" t="s">
        <v>47</v>
      </c>
      <c r="V181" s="128">
        <v>0.718</v>
      </c>
      <c r="W181" s="128">
        <f>$V$181*$K$181</f>
        <v>33.464544</v>
      </c>
      <c r="X181" s="128">
        <v>0</v>
      </c>
      <c r="Y181" s="128">
        <f>$X$181*$K$181</f>
        <v>0</v>
      </c>
      <c r="Z181" s="128">
        <v>0.063</v>
      </c>
      <c r="AA181" s="129">
        <f>$Z$181*$K$181</f>
        <v>2.936304</v>
      </c>
      <c r="AR181" s="6" t="s">
        <v>150</v>
      </c>
      <c r="AT181" s="6" t="s">
        <v>146</v>
      </c>
      <c r="AU181" s="6" t="s">
        <v>97</v>
      </c>
      <c r="AY181" s="6" t="s">
        <v>145</v>
      </c>
      <c r="BE181" s="81">
        <f>IF($U$181="základní",$N$181,0)</f>
        <v>0</v>
      </c>
      <c r="BF181" s="81">
        <f>IF($U$181="snížená",$N$181,0)</f>
        <v>0</v>
      </c>
      <c r="BG181" s="81">
        <f>IF($U$181="zákl. přenesená",$N$181,0)</f>
        <v>0</v>
      </c>
      <c r="BH181" s="81">
        <f>IF($U$181="sníž. přenesená",$N$181,0)</f>
        <v>0</v>
      </c>
      <c r="BI181" s="81">
        <f>IF($U$181="nulová",$N$181,0)</f>
        <v>0</v>
      </c>
      <c r="BJ181" s="6" t="s">
        <v>21</v>
      </c>
      <c r="BK181" s="81">
        <f>ROUND($L$181*$K$181,2)</f>
        <v>0</v>
      </c>
      <c r="BL181" s="6" t="s">
        <v>150</v>
      </c>
    </row>
    <row r="182" spans="2:51" s="6" customFormat="1" ht="15.75" customHeight="1">
      <c r="B182" s="130"/>
      <c r="E182" s="131"/>
      <c r="F182" s="203" t="s">
        <v>256</v>
      </c>
      <c r="G182" s="204"/>
      <c r="H182" s="204"/>
      <c r="I182" s="204"/>
      <c r="K182" s="132">
        <v>46.608</v>
      </c>
      <c r="R182" s="133"/>
      <c r="T182" s="134"/>
      <c r="AA182" s="135"/>
      <c r="AT182" s="131" t="s">
        <v>152</v>
      </c>
      <c r="AU182" s="131" t="s">
        <v>97</v>
      </c>
      <c r="AV182" s="131" t="s">
        <v>97</v>
      </c>
      <c r="AW182" s="131" t="s">
        <v>104</v>
      </c>
      <c r="AX182" s="131" t="s">
        <v>21</v>
      </c>
      <c r="AY182" s="131" t="s">
        <v>145</v>
      </c>
    </row>
    <row r="183" spans="2:63" s="113" customFormat="1" ht="23.25" customHeight="1">
      <c r="B183" s="114"/>
      <c r="D183" s="122" t="s">
        <v>109</v>
      </c>
      <c r="N183" s="195">
        <f>$BK$183</f>
        <v>0</v>
      </c>
      <c r="O183" s="196"/>
      <c r="P183" s="196"/>
      <c r="Q183" s="196"/>
      <c r="R183" s="117"/>
      <c r="T183" s="118"/>
      <c r="W183" s="119">
        <f>SUM($W$184:$W$189)</f>
        <v>2.9287940000000003</v>
      </c>
      <c r="Y183" s="119">
        <f>SUM($Y$184:$Y$189)</f>
        <v>0</v>
      </c>
      <c r="AA183" s="120">
        <f>SUM($AA$184:$AA$189)</f>
        <v>0</v>
      </c>
      <c r="AR183" s="116" t="s">
        <v>21</v>
      </c>
      <c r="AT183" s="116" t="s">
        <v>81</v>
      </c>
      <c r="AU183" s="116" t="s">
        <v>97</v>
      </c>
      <c r="AY183" s="116" t="s">
        <v>145</v>
      </c>
      <c r="BK183" s="121">
        <f>SUM($BK$184:$BK$189)</f>
        <v>0</v>
      </c>
    </row>
    <row r="184" spans="2:64" s="6" customFormat="1" ht="15.75" customHeight="1">
      <c r="B184" s="22"/>
      <c r="C184" s="123" t="s">
        <v>257</v>
      </c>
      <c r="D184" s="123" t="s">
        <v>146</v>
      </c>
      <c r="E184" s="124" t="s">
        <v>258</v>
      </c>
      <c r="F184" s="205" t="s">
        <v>259</v>
      </c>
      <c r="G184" s="200"/>
      <c r="H184" s="200"/>
      <c r="I184" s="200"/>
      <c r="J184" s="125" t="s">
        <v>260</v>
      </c>
      <c r="K184" s="126">
        <v>5.522</v>
      </c>
      <c r="L184" s="199">
        <v>0</v>
      </c>
      <c r="M184" s="200"/>
      <c r="N184" s="201">
        <f>ROUND($L$184*$K$184,2)</f>
        <v>0</v>
      </c>
      <c r="O184" s="200"/>
      <c r="P184" s="200"/>
      <c r="Q184" s="200"/>
      <c r="R184" s="23"/>
      <c r="T184" s="127"/>
      <c r="U184" s="29" t="s">
        <v>47</v>
      </c>
      <c r="V184" s="128">
        <v>0.136</v>
      </c>
      <c r="W184" s="128">
        <f>$V$184*$K$184</f>
        <v>0.7509920000000001</v>
      </c>
      <c r="X184" s="128">
        <v>0</v>
      </c>
      <c r="Y184" s="128">
        <f>$X$184*$K$184</f>
        <v>0</v>
      </c>
      <c r="Z184" s="128">
        <v>0</v>
      </c>
      <c r="AA184" s="129">
        <f>$Z$184*$K$184</f>
        <v>0</v>
      </c>
      <c r="AR184" s="6" t="s">
        <v>150</v>
      </c>
      <c r="AT184" s="6" t="s">
        <v>146</v>
      </c>
      <c r="AU184" s="6" t="s">
        <v>242</v>
      </c>
      <c r="AY184" s="6" t="s">
        <v>145</v>
      </c>
      <c r="BE184" s="81">
        <f>IF($U$184="základní",$N$184,0)</f>
        <v>0</v>
      </c>
      <c r="BF184" s="81">
        <f>IF($U$184="snížená",$N$184,0)</f>
        <v>0</v>
      </c>
      <c r="BG184" s="81">
        <f>IF($U$184="zákl. přenesená",$N$184,0)</f>
        <v>0</v>
      </c>
      <c r="BH184" s="81">
        <f>IF($U$184="sníž. přenesená",$N$184,0)</f>
        <v>0</v>
      </c>
      <c r="BI184" s="81">
        <f>IF($U$184="nulová",$N$184,0)</f>
        <v>0</v>
      </c>
      <c r="BJ184" s="6" t="s">
        <v>21</v>
      </c>
      <c r="BK184" s="81">
        <f>ROUND($L$184*$K$184,2)</f>
        <v>0</v>
      </c>
      <c r="BL184" s="6" t="s">
        <v>150</v>
      </c>
    </row>
    <row r="185" spans="2:64" s="6" customFormat="1" ht="27" customHeight="1">
      <c r="B185" s="22"/>
      <c r="C185" s="123" t="s">
        <v>179</v>
      </c>
      <c r="D185" s="123" t="s">
        <v>146</v>
      </c>
      <c r="E185" s="124" t="s">
        <v>261</v>
      </c>
      <c r="F185" s="205" t="s">
        <v>262</v>
      </c>
      <c r="G185" s="200"/>
      <c r="H185" s="200"/>
      <c r="I185" s="200"/>
      <c r="J185" s="125" t="s">
        <v>260</v>
      </c>
      <c r="K185" s="126">
        <v>5.522</v>
      </c>
      <c r="L185" s="199">
        <v>0</v>
      </c>
      <c r="M185" s="200"/>
      <c r="N185" s="201">
        <f>ROUND($L$185*$K$185,2)</f>
        <v>0</v>
      </c>
      <c r="O185" s="200"/>
      <c r="P185" s="200"/>
      <c r="Q185" s="200"/>
      <c r="R185" s="23"/>
      <c r="T185" s="127"/>
      <c r="U185" s="29" t="s">
        <v>47</v>
      </c>
      <c r="V185" s="128">
        <v>0.125</v>
      </c>
      <c r="W185" s="128">
        <f>$V$185*$K$185</f>
        <v>0.69025</v>
      </c>
      <c r="X185" s="128">
        <v>0</v>
      </c>
      <c r="Y185" s="128">
        <f>$X$185*$K$185</f>
        <v>0</v>
      </c>
      <c r="Z185" s="128">
        <v>0</v>
      </c>
      <c r="AA185" s="129">
        <f>$Z$185*$K$185</f>
        <v>0</v>
      </c>
      <c r="AR185" s="6" t="s">
        <v>150</v>
      </c>
      <c r="AT185" s="6" t="s">
        <v>146</v>
      </c>
      <c r="AU185" s="6" t="s">
        <v>242</v>
      </c>
      <c r="AY185" s="6" t="s">
        <v>145</v>
      </c>
      <c r="BE185" s="81">
        <f>IF($U$185="základní",$N$185,0)</f>
        <v>0</v>
      </c>
      <c r="BF185" s="81">
        <f>IF($U$185="snížená",$N$185,0)</f>
        <v>0</v>
      </c>
      <c r="BG185" s="81">
        <f>IF($U$185="zákl. přenesená",$N$185,0)</f>
        <v>0</v>
      </c>
      <c r="BH185" s="81">
        <f>IF($U$185="sníž. přenesená",$N$185,0)</f>
        <v>0</v>
      </c>
      <c r="BI185" s="81">
        <f>IF($U$185="nulová",$N$185,0)</f>
        <v>0</v>
      </c>
      <c r="BJ185" s="6" t="s">
        <v>21</v>
      </c>
      <c r="BK185" s="81">
        <f>ROUND($L$185*$K$185,2)</f>
        <v>0</v>
      </c>
      <c r="BL185" s="6" t="s">
        <v>150</v>
      </c>
    </row>
    <row r="186" spans="2:64" s="6" customFormat="1" ht="27" customHeight="1">
      <c r="B186" s="22"/>
      <c r="C186" s="123" t="s">
        <v>263</v>
      </c>
      <c r="D186" s="123" t="s">
        <v>146</v>
      </c>
      <c r="E186" s="124" t="s">
        <v>264</v>
      </c>
      <c r="F186" s="205" t="s">
        <v>265</v>
      </c>
      <c r="G186" s="200"/>
      <c r="H186" s="200"/>
      <c r="I186" s="200"/>
      <c r="J186" s="125" t="s">
        <v>260</v>
      </c>
      <c r="K186" s="126">
        <v>99.396</v>
      </c>
      <c r="L186" s="199">
        <v>0</v>
      </c>
      <c r="M186" s="200"/>
      <c r="N186" s="201">
        <f>ROUND($L$186*$K$186,2)</f>
        <v>0</v>
      </c>
      <c r="O186" s="200"/>
      <c r="P186" s="200"/>
      <c r="Q186" s="200"/>
      <c r="R186" s="23"/>
      <c r="T186" s="127"/>
      <c r="U186" s="29" t="s">
        <v>47</v>
      </c>
      <c r="V186" s="128">
        <v>0.006</v>
      </c>
      <c r="W186" s="128">
        <f>$V$186*$K$186</f>
        <v>0.596376</v>
      </c>
      <c r="X186" s="128">
        <v>0</v>
      </c>
      <c r="Y186" s="128">
        <f>$X$186*$K$186</f>
        <v>0</v>
      </c>
      <c r="Z186" s="128">
        <v>0</v>
      </c>
      <c r="AA186" s="129">
        <f>$Z$186*$K$186</f>
        <v>0</v>
      </c>
      <c r="AR186" s="6" t="s">
        <v>150</v>
      </c>
      <c r="AT186" s="6" t="s">
        <v>146</v>
      </c>
      <c r="AU186" s="6" t="s">
        <v>242</v>
      </c>
      <c r="AY186" s="6" t="s">
        <v>145</v>
      </c>
      <c r="BE186" s="81">
        <f>IF($U$186="základní",$N$186,0)</f>
        <v>0</v>
      </c>
      <c r="BF186" s="81">
        <f>IF($U$186="snížená",$N$186,0)</f>
        <v>0</v>
      </c>
      <c r="BG186" s="81">
        <f>IF($U$186="zákl. přenesená",$N$186,0)</f>
        <v>0</v>
      </c>
      <c r="BH186" s="81">
        <f>IF($U$186="sníž. přenesená",$N$186,0)</f>
        <v>0</v>
      </c>
      <c r="BI186" s="81">
        <f>IF($U$186="nulová",$N$186,0)</f>
        <v>0</v>
      </c>
      <c r="BJ186" s="6" t="s">
        <v>21</v>
      </c>
      <c r="BK186" s="81">
        <f>ROUND($L$186*$K$186,2)</f>
        <v>0</v>
      </c>
      <c r="BL186" s="6" t="s">
        <v>150</v>
      </c>
    </row>
    <row r="187" spans="2:51" s="6" customFormat="1" ht="15.75" customHeight="1">
      <c r="B187" s="130"/>
      <c r="E187" s="131"/>
      <c r="F187" s="203" t="s">
        <v>266</v>
      </c>
      <c r="G187" s="204"/>
      <c r="H187" s="204"/>
      <c r="I187" s="204"/>
      <c r="K187" s="132">
        <v>99.396</v>
      </c>
      <c r="R187" s="133"/>
      <c r="T187" s="134"/>
      <c r="AA187" s="135"/>
      <c r="AT187" s="131" t="s">
        <v>152</v>
      </c>
      <c r="AU187" s="131" t="s">
        <v>242</v>
      </c>
      <c r="AV187" s="131" t="s">
        <v>97</v>
      </c>
      <c r="AW187" s="131" t="s">
        <v>104</v>
      </c>
      <c r="AX187" s="131" t="s">
        <v>21</v>
      </c>
      <c r="AY187" s="131" t="s">
        <v>145</v>
      </c>
    </row>
    <row r="188" spans="2:64" s="6" customFormat="1" ht="27" customHeight="1">
      <c r="B188" s="22"/>
      <c r="C188" s="123" t="s">
        <v>26</v>
      </c>
      <c r="D188" s="123" t="s">
        <v>146</v>
      </c>
      <c r="E188" s="124" t="s">
        <v>267</v>
      </c>
      <c r="F188" s="205" t="s">
        <v>268</v>
      </c>
      <c r="G188" s="200"/>
      <c r="H188" s="200"/>
      <c r="I188" s="200"/>
      <c r="J188" s="125" t="s">
        <v>260</v>
      </c>
      <c r="K188" s="126">
        <v>5.522</v>
      </c>
      <c r="L188" s="199">
        <v>0</v>
      </c>
      <c r="M188" s="200"/>
      <c r="N188" s="201">
        <f>ROUND($L$188*$K$188,2)</f>
        <v>0</v>
      </c>
      <c r="O188" s="200"/>
      <c r="P188" s="200"/>
      <c r="Q188" s="200"/>
      <c r="R188" s="23"/>
      <c r="T188" s="127"/>
      <c r="U188" s="29" t="s">
        <v>47</v>
      </c>
      <c r="V188" s="128">
        <v>0</v>
      </c>
      <c r="W188" s="128">
        <f>$V$188*$K$188</f>
        <v>0</v>
      </c>
      <c r="X188" s="128">
        <v>0</v>
      </c>
      <c r="Y188" s="128">
        <f>$X$188*$K$188</f>
        <v>0</v>
      </c>
      <c r="Z188" s="128">
        <v>0</v>
      </c>
      <c r="AA188" s="129">
        <f>$Z$188*$K$188</f>
        <v>0</v>
      </c>
      <c r="AR188" s="6" t="s">
        <v>150</v>
      </c>
      <c r="AT188" s="6" t="s">
        <v>146</v>
      </c>
      <c r="AU188" s="6" t="s">
        <v>242</v>
      </c>
      <c r="AY188" s="6" t="s">
        <v>145</v>
      </c>
      <c r="BE188" s="81">
        <f>IF($U$188="základní",$N$188,0)</f>
        <v>0</v>
      </c>
      <c r="BF188" s="81">
        <f>IF($U$188="snížená",$N$188,0)</f>
        <v>0</v>
      </c>
      <c r="BG188" s="81">
        <f>IF($U$188="zákl. přenesená",$N$188,0)</f>
        <v>0</v>
      </c>
      <c r="BH188" s="81">
        <f>IF($U$188="sníž. přenesená",$N$188,0)</f>
        <v>0</v>
      </c>
      <c r="BI188" s="81">
        <f>IF($U$188="nulová",$N$188,0)</f>
        <v>0</v>
      </c>
      <c r="BJ188" s="6" t="s">
        <v>21</v>
      </c>
      <c r="BK188" s="81">
        <f>ROUND($L$188*$K$188,2)</f>
        <v>0</v>
      </c>
      <c r="BL188" s="6" t="s">
        <v>150</v>
      </c>
    </row>
    <row r="189" spans="2:64" s="6" customFormat="1" ht="15.75" customHeight="1">
      <c r="B189" s="22"/>
      <c r="C189" s="123" t="s">
        <v>269</v>
      </c>
      <c r="D189" s="123" t="s">
        <v>146</v>
      </c>
      <c r="E189" s="124" t="s">
        <v>270</v>
      </c>
      <c r="F189" s="205" t="s">
        <v>271</v>
      </c>
      <c r="G189" s="200"/>
      <c r="H189" s="200"/>
      <c r="I189" s="200"/>
      <c r="J189" s="125" t="s">
        <v>260</v>
      </c>
      <c r="K189" s="126">
        <v>2.717</v>
      </c>
      <c r="L189" s="199">
        <v>0</v>
      </c>
      <c r="M189" s="200"/>
      <c r="N189" s="201">
        <f>ROUND($L$189*$K$189,2)</f>
        <v>0</v>
      </c>
      <c r="O189" s="200"/>
      <c r="P189" s="200"/>
      <c r="Q189" s="200"/>
      <c r="R189" s="23"/>
      <c r="T189" s="127"/>
      <c r="U189" s="29" t="s">
        <v>47</v>
      </c>
      <c r="V189" s="128">
        <v>0.328</v>
      </c>
      <c r="W189" s="128">
        <f>$V$189*$K$189</f>
        <v>0.8911760000000001</v>
      </c>
      <c r="X189" s="128">
        <v>0</v>
      </c>
      <c r="Y189" s="128">
        <f>$X$189*$K$189</f>
        <v>0</v>
      </c>
      <c r="Z189" s="128">
        <v>0</v>
      </c>
      <c r="AA189" s="129">
        <f>$Z$189*$K$189</f>
        <v>0</v>
      </c>
      <c r="AR189" s="6" t="s">
        <v>150</v>
      </c>
      <c r="AT189" s="6" t="s">
        <v>146</v>
      </c>
      <c r="AU189" s="6" t="s">
        <v>242</v>
      </c>
      <c r="AY189" s="6" t="s">
        <v>145</v>
      </c>
      <c r="BE189" s="81">
        <f>IF($U$189="základní",$N$189,0)</f>
        <v>0</v>
      </c>
      <c r="BF189" s="81">
        <f>IF($U$189="snížená",$N$189,0)</f>
        <v>0</v>
      </c>
      <c r="BG189" s="81">
        <f>IF($U$189="zákl. přenesená",$N$189,0)</f>
        <v>0</v>
      </c>
      <c r="BH189" s="81">
        <f>IF($U$189="sníž. přenesená",$N$189,0)</f>
        <v>0</v>
      </c>
      <c r="BI189" s="81">
        <f>IF($U$189="nulová",$N$189,0)</f>
        <v>0</v>
      </c>
      <c r="BJ189" s="6" t="s">
        <v>21</v>
      </c>
      <c r="BK189" s="81">
        <f>ROUND($L$189*$K$189,2)</f>
        <v>0</v>
      </c>
      <c r="BL189" s="6" t="s">
        <v>150</v>
      </c>
    </row>
    <row r="190" spans="2:63" s="113" customFormat="1" ht="37.5" customHeight="1">
      <c r="B190" s="114"/>
      <c r="D190" s="115" t="s">
        <v>110</v>
      </c>
      <c r="N190" s="193">
        <f>$BK$190</f>
        <v>0</v>
      </c>
      <c r="O190" s="196"/>
      <c r="P190" s="196"/>
      <c r="Q190" s="196"/>
      <c r="R190" s="117"/>
      <c r="T190" s="118"/>
      <c r="W190" s="119">
        <f>$W$191+$W$199+$W$211+$W$216+$W$244+$W$252+$W$255</f>
        <v>456.091594</v>
      </c>
      <c r="Y190" s="119">
        <f>$Y$191+$Y$199+$Y$211+$Y$216+$Y$244+$Y$252+$Y$255</f>
        <v>0.7884820199999998</v>
      </c>
      <c r="AA190" s="120">
        <f>$AA$191+$AA$199+$AA$211+$AA$216+$AA$244+$AA$252+$AA$255</f>
        <v>0.40143799999999996</v>
      </c>
      <c r="AR190" s="116" t="s">
        <v>97</v>
      </c>
      <c r="AT190" s="116" t="s">
        <v>81</v>
      </c>
      <c r="AU190" s="116" t="s">
        <v>82</v>
      </c>
      <c r="AY190" s="116" t="s">
        <v>145</v>
      </c>
      <c r="BK190" s="121">
        <f>$BK$191+$BK$199+$BK$211+$BK$216+$BK$244+$BK$252+$BK$255</f>
        <v>0</v>
      </c>
    </row>
    <row r="191" spans="2:63" s="113" customFormat="1" ht="21" customHeight="1">
      <c r="B191" s="114"/>
      <c r="D191" s="122" t="s">
        <v>111</v>
      </c>
      <c r="N191" s="195">
        <f>$BK$191</f>
        <v>0</v>
      </c>
      <c r="O191" s="196"/>
      <c r="P191" s="196"/>
      <c r="Q191" s="196"/>
      <c r="R191" s="117"/>
      <c r="T191" s="118"/>
      <c r="W191" s="119">
        <f>SUM($W$192:$W$198)</f>
        <v>0.8777159999999999</v>
      </c>
      <c r="Y191" s="119">
        <f>SUM($Y$192:$Y$198)</f>
        <v>0.0768504</v>
      </c>
      <c r="AA191" s="120">
        <f>SUM($AA$192:$AA$198)</f>
        <v>0</v>
      </c>
      <c r="AR191" s="116" t="s">
        <v>97</v>
      </c>
      <c r="AT191" s="116" t="s">
        <v>81</v>
      </c>
      <c r="AU191" s="116" t="s">
        <v>21</v>
      </c>
      <c r="AY191" s="116" t="s">
        <v>145</v>
      </c>
      <c r="BK191" s="121">
        <f>SUM($BK$192:$BK$198)</f>
        <v>0</v>
      </c>
    </row>
    <row r="192" spans="2:64" s="6" customFormat="1" ht="27" customHeight="1">
      <c r="B192" s="22"/>
      <c r="C192" s="123" t="s">
        <v>272</v>
      </c>
      <c r="D192" s="123" t="s">
        <v>146</v>
      </c>
      <c r="E192" s="124" t="s">
        <v>273</v>
      </c>
      <c r="F192" s="205" t="s">
        <v>274</v>
      </c>
      <c r="G192" s="200"/>
      <c r="H192" s="200"/>
      <c r="I192" s="200"/>
      <c r="J192" s="125" t="s">
        <v>161</v>
      </c>
      <c r="K192" s="126">
        <v>2.988</v>
      </c>
      <c r="L192" s="199">
        <v>0</v>
      </c>
      <c r="M192" s="200"/>
      <c r="N192" s="201">
        <f>ROUND($L$192*$K$192,2)</f>
        <v>0</v>
      </c>
      <c r="O192" s="200"/>
      <c r="P192" s="200"/>
      <c r="Q192" s="200"/>
      <c r="R192" s="23"/>
      <c r="T192" s="127"/>
      <c r="U192" s="29" t="s">
        <v>47</v>
      </c>
      <c r="V192" s="128">
        <v>0.211</v>
      </c>
      <c r="W192" s="128">
        <f>$V$192*$K$192</f>
        <v>0.630468</v>
      </c>
      <c r="X192" s="128">
        <v>0.006</v>
      </c>
      <c r="Y192" s="128">
        <f>$X$192*$K$192</f>
        <v>0.017928</v>
      </c>
      <c r="Z192" s="128">
        <v>0</v>
      </c>
      <c r="AA192" s="129">
        <f>$Z$192*$K$192</f>
        <v>0</v>
      </c>
      <c r="AR192" s="6" t="s">
        <v>219</v>
      </c>
      <c r="AT192" s="6" t="s">
        <v>146</v>
      </c>
      <c r="AU192" s="6" t="s">
        <v>97</v>
      </c>
      <c r="AY192" s="6" t="s">
        <v>145</v>
      </c>
      <c r="BE192" s="81">
        <f>IF($U$192="základní",$N$192,0)</f>
        <v>0</v>
      </c>
      <c r="BF192" s="81">
        <f>IF($U$192="snížená",$N$192,0)</f>
        <v>0</v>
      </c>
      <c r="BG192" s="81">
        <f>IF($U$192="zákl. přenesená",$N$192,0)</f>
        <v>0</v>
      </c>
      <c r="BH192" s="81">
        <f>IF($U$192="sníž. přenesená",$N$192,0)</f>
        <v>0</v>
      </c>
      <c r="BI192" s="81">
        <f>IF($U$192="nulová",$N$192,0)</f>
        <v>0</v>
      </c>
      <c r="BJ192" s="6" t="s">
        <v>21</v>
      </c>
      <c r="BK192" s="81">
        <f>ROUND($L$192*$K$192,2)</f>
        <v>0</v>
      </c>
      <c r="BL192" s="6" t="s">
        <v>219</v>
      </c>
    </row>
    <row r="193" spans="2:51" s="6" customFormat="1" ht="15.75" customHeight="1">
      <c r="B193" s="130"/>
      <c r="E193" s="131"/>
      <c r="F193" s="203" t="s">
        <v>275</v>
      </c>
      <c r="G193" s="204"/>
      <c r="H193" s="204"/>
      <c r="I193" s="204"/>
      <c r="K193" s="132">
        <v>2.988</v>
      </c>
      <c r="R193" s="133"/>
      <c r="T193" s="134"/>
      <c r="AA193" s="135"/>
      <c r="AT193" s="131" t="s">
        <v>152</v>
      </c>
      <c r="AU193" s="131" t="s">
        <v>97</v>
      </c>
      <c r="AV193" s="131" t="s">
        <v>97</v>
      </c>
      <c r="AW193" s="131" t="s">
        <v>104</v>
      </c>
      <c r="AX193" s="131" t="s">
        <v>21</v>
      </c>
      <c r="AY193" s="131" t="s">
        <v>145</v>
      </c>
    </row>
    <row r="194" spans="2:64" s="6" customFormat="1" ht="27" customHeight="1">
      <c r="B194" s="22"/>
      <c r="C194" s="142" t="s">
        <v>276</v>
      </c>
      <c r="D194" s="142" t="s">
        <v>176</v>
      </c>
      <c r="E194" s="143" t="s">
        <v>277</v>
      </c>
      <c r="F194" s="206" t="s">
        <v>278</v>
      </c>
      <c r="G194" s="207"/>
      <c r="H194" s="207"/>
      <c r="I194" s="207"/>
      <c r="J194" s="144" t="s">
        <v>161</v>
      </c>
      <c r="K194" s="145">
        <v>3.048</v>
      </c>
      <c r="L194" s="208">
        <v>0</v>
      </c>
      <c r="M194" s="207"/>
      <c r="N194" s="209">
        <f>ROUND($L$194*$K$194,2)</f>
        <v>0</v>
      </c>
      <c r="O194" s="200"/>
      <c r="P194" s="200"/>
      <c r="Q194" s="200"/>
      <c r="R194" s="23"/>
      <c r="T194" s="127"/>
      <c r="U194" s="29" t="s">
        <v>47</v>
      </c>
      <c r="V194" s="128">
        <v>0</v>
      </c>
      <c r="W194" s="128">
        <f>$V$194*$K$194</f>
        <v>0</v>
      </c>
      <c r="X194" s="128">
        <v>0.0023</v>
      </c>
      <c r="Y194" s="128">
        <f>$X$194*$K$194</f>
        <v>0.0070104</v>
      </c>
      <c r="Z194" s="128">
        <v>0</v>
      </c>
      <c r="AA194" s="129">
        <f>$Z$194*$K$194</f>
        <v>0</v>
      </c>
      <c r="AR194" s="6" t="s">
        <v>279</v>
      </c>
      <c r="AT194" s="6" t="s">
        <v>176</v>
      </c>
      <c r="AU194" s="6" t="s">
        <v>97</v>
      </c>
      <c r="AY194" s="6" t="s">
        <v>145</v>
      </c>
      <c r="BE194" s="81">
        <f>IF($U$194="základní",$N$194,0)</f>
        <v>0</v>
      </c>
      <c r="BF194" s="81">
        <f>IF($U$194="snížená",$N$194,0)</f>
        <v>0</v>
      </c>
      <c r="BG194" s="81">
        <f>IF($U$194="zákl. přenesená",$N$194,0)</f>
        <v>0</v>
      </c>
      <c r="BH194" s="81">
        <f>IF($U$194="sníž. přenesená",$N$194,0)</f>
        <v>0</v>
      </c>
      <c r="BI194" s="81">
        <f>IF($U$194="nulová",$N$194,0)</f>
        <v>0</v>
      </c>
      <c r="BJ194" s="6" t="s">
        <v>21</v>
      </c>
      <c r="BK194" s="81">
        <f>ROUND($L$194*$K$194,2)</f>
        <v>0</v>
      </c>
      <c r="BL194" s="6" t="s">
        <v>219</v>
      </c>
    </row>
    <row r="195" spans="2:64" s="6" customFormat="1" ht="39" customHeight="1">
      <c r="B195" s="22"/>
      <c r="C195" s="123" t="s">
        <v>280</v>
      </c>
      <c r="D195" s="123" t="s">
        <v>146</v>
      </c>
      <c r="E195" s="124" t="s">
        <v>281</v>
      </c>
      <c r="F195" s="205" t="s">
        <v>282</v>
      </c>
      <c r="G195" s="200"/>
      <c r="H195" s="200"/>
      <c r="I195" s="200"/>
      <c r="J195" s="125" t="s">
        <v>161</v>
      </c>
      <c r="K195" s="126">
        <v>2.424</v>
      </c>
      <c r="L195" s="199">
        <v>0</v>
      </c>
      <c r="M195" s="200"/>
      <c r="N195" s="201">
        <f>ROUND($L$195*$K$195,2)</f>
        <v>0</v>
      </c>
      <c r="O195" s="200"/>
      <c r="P195" s="200"/>
      <c r="Q195" s="200"/>
      <c r="R195" s="23"/>
      <c r="T195" s="127"/>
      <c r="U195" s="29" t="s">
        <v>47</v>
      </c>
      <c r="V195" s="128">
        <v>0.102</v>
      </c>
      <c r="W195" s="128">
        <f>$V$195*$K$195</f>
        <v>0.24724799999999997</v>
      </c>
      <c r="X195" s="128">
        <v>0</v>
      </c>
      <c r="Y195" s="128">
        <f>$X$195*$K$195</f>
        <v>0</v>
      </c>
      <c r="Z195" s="128">
        <v>0</v>
      </c>
      <c r="AA195" s="129">
        <f>$Z$195*$K$195</f>
        <v>0</v>
      </c>
      <c r="AR195" s="6" t="s">
        <v>219</v>
      </c>
      <c r="AT195" s="6" t="s">
        <v>146</v>
      </c>
      <c r="AU195" s="6" t="s">
        <v>97</v>
      </c>
      <c r="AY195" s="6" t="s">
        <v>145</v>
      </c>
      <c r="BE195" s="81">
        <f>IF($U$195="základní",$N$195,0)</f>
        <v>0</v>
      </c>
      <c r="BF195" s="81">
        <f>IF($U$195="snížená",$N$195,0)</f>
        <v>0</v>
      </c>
      <c r="BG195" s="81">
        <f>IF($U$195="zákl. přenesená",$N$195,0)</f>
        <v>0</v>
      </c>
      <c r="BH195" s="81">
        <f>IF($U$195="sníž. přenesená",$N$195,0)</f>
        <v>0</v>
      </c>
      <c r="BI195" s="81">
        <f>IF($U$195="nulová",$N$195,0)</f>
        <v>0</v>
      </c>
      <c r="BJ195" s="6" t="s">
        <v>21</v>
      </c>
      <c r="BK195" s="81">
        <f>ROUND($L$195*$K$195,2)</f>
        <v>0</v>
      </c>
      <c r="BL195" s="6" t="s">
        <v>219</v>
      </c>
    </row>
    <row r="196" spans="2:51" s="6" customFormat="1" ht="15.75" customHeight="1">
      <c r="B196" s="130"/>
      <c r="E196" s="131"/>
      <c r="F196" s="203" t="s">
        <v>283</v>
      </c>
      <c r="G196" s="204"/>
      <c r="H196" s="204"/>
      <c r="I196" s="204"/>
      <c r="K196" s="132">
        <v>2.424</v>
      </c>
      <c r="R196" s="133"/>
      <c r="T196" s="134"/>
      <c r="AA196" s="135"/>
      <c r="AT196" s="131" t="s">
        <v>152</v>
      </c>
      <c r="AU196" s="131" t="s">
        <v>97</v>
      </c>
      <c r="AV196" s="131" t="s">
        <v>97</v>
      </c>
      <c r="AW196" s="131" t="s">
        <v>104</v>
      </c>
      <c r="AX196" s="131" t="s">
        <v>21</v>
      </c>
      <c r="AY196" s="131" t="s">
        <v>145</v>
      </c>
    </row>
    <row r="197" spans="2:64" s="6" customFormat="1" ht="15.75" customHeight="1">
      <c r="B197" s="22"/>
      <c r="C197" s="142" t="s">
        <v>284</v>
      </c>
      <c r="D197" s="142" t="s">
        <v>176</v>
      </c>
      <c r="E197" s="143" t="s">
        <v>285</v>
      </c>
      <c r="F197" s="206" t="s">
        <v>286</v>
      </c>
      <c r="G197" s="207"/>
      <c r="H197" s="207"/>
      <c r="I197" s="207"/>
      <c r="J197" s="144" t="s">
        <v>161</v>
      </c>
      <c r="K197" s="145">
        <v>2.472</v>
      </c>
      <c r="L197" s="208">
        <v>0</v>
      </c>
      <c r="M197" s="207"/>
      <c r="N197" s="209">
        <f>ROUND($L$197*$K$197,2)</f>
        <v>0</v>
      </c>
      <c r="O197" s="200"/>
      <c r="P197" s="200"/>
      <c r="Q197" s="200"/>
      <c r="R197" s="23"/>
      <c r="T197" s="127"/>
      <c r="U197" s="29" t="s">
        <v>47</v>
      </c>
      <c r="V197" s="128">
        <v>0</v>
      </c>
      <c r="W197" s="128">
        <f>$V$197*$K$197</f>
        <v>0</v>
      </c>
      <c r="X197" s="128">
        <v>0.021</v>
      </c>
      <c r="Y197" s="128">
        <f>$X$197*$K$197</f>
        <v>0.051912</v>
      </c>
      <c r="Z197" s="128">
        <v>0</v>
      </c>
      <c r="AA197" s="129">
        <f>$Z$197*$K$197</f>
        <v>0</v>
      </c>
      <c r="AR197" s="6" t="s">
        <v>279</v>
      </c>
      <c r="AT197" s="6" t="s">
        <v>176</v>
      </c>
      <c r="AU197" s="6" t="s">
        <v>97</v>
      </c>
      <c r="AY197" s="6" t="s">
        <v>145</v>
      </c>
      <c r="BE197" s="81">
        <f>IF($U$197="základní",$N$197,0)</f>
        <v>0</v>
      </c>
      <c r="BF197" s="81">
        <f>IF($U$197="snížená",$N$197,0)</f>
        <v>0</v>
      </c>
      <c r="BG197" s="81">
        <f>IF($U$197="zákl. přenesená",$N$197,0)</f>
        <v>0</v>
      </c>
      <c r="BH197" s="81">
        <f>IF($U$197="sníž. přenesená",$N$197,0)</f>
        <v>0</v>
      </c>
      <c r="BI197" s="81">
        <f>IF($U$197="nulová",$N$197,0)</f>
        <v>0</v>
      </c>
      <c r="BJ197" s="6" t="s">
        <v>21</v>
      </c>
      <c r="BK197" s="81">
        <f>ROUND($L$197*$K$197,2)</f>
        <v>0</v>
      </c>
      <c r="BL197" s="6" t="s">
        <v>219</v>
      </c>
    </row>
    <row r="198" spans="2:64" s="6" customFormat="1" ht="27" customHeight="1">
      <c r="B198" s="22"/>
      <c r="C198" s="123" t="s">
        <v>287</v>
      </c>
      <c r="D198" s="123" t="s">
        <v>146</v>
      </c>
      <c r="E198" s="124" t="s">
        <v>288</v>
      </c>
      <c r="F198" s="205" t="s">
        <v>289</v>
      </c>
      <c r="G198" s="200"/>
      <c r="H198" s="200"/>
      <c r="I198" s="200"/>
      <c r="J198" s="125" t="s">
        <v>290</v>
      </c>
      <c r="K198" s="146">
        <v>0</v>
      </c>
      <c r="L198" s="199">
        <v>0</v>
      </c>
      <c r="M198" s="200"/>
      <c r="N198" s="201">
        <f>ROUND($L$198*$K$198,2)</f>
        <v>0</v>
      </c>
      <c r="O198" s="200"/>
      <c r="P198" s="200"/>
      <c r="Q198" s="200"/>
      <c r="R198" s="23"/>
      <c r="T198" s="127"/>
      <c r="U198" s="29" t="s">
        <v>47</v>
      </c>
      <c r="V198" s="128">
        <v>0</v>
      </c>
      <c r="W198" s="128">
        <f>$V$198*$K$198</f>
        <v>0</v>
      </c>
      <c r="X198" s="128">
        <v>0</v>
      </c>
      <c r="Y198" s="128">
        <f>$X$198*$K$198</f>
        <v>0</v>
      </c>
      <c r="Z198" s="128">
        <v>0</v>
      </c>
      <c r="AA198" s="129">
        <f>$Z$198*$K$198</f>
        <v>0</v>
      </c>
      <c r="AR198" s="6" t="s">
        <v>219</v>
      </c>
      <c r="AT198" s="6" t="s">
        <v>146</v>
      </c>
      <c r="AU198" s="6" t="s">
        <v>97</v>
      </c>
      <c r="AY198" s="6" t="s">
        <v>145</v>
      </c>
      <c r="BE198" s="81">
        <f>IF($U$198="základní",$N$198,0)</f>
        <v>0</v>
      </c>
      <c r="BF198" s="81">
        <f>IF($U$198="snížená",$N$198,0)</f>
        <v>0</v>
      </c>
      <c r="BG198" s="81">
        <f>IF($U$198="zákl. přenesená",$N$198,0)</f>
        <v>0</v>
      </c>
      <c r="BH198" s="81">
        <f>IF($U$198="sníž. přenesená",$N$198,0)</f>
        <v>0</v>
      </c>
      <c r="BI198" s="81">
        <f>IF($U$198="nulová",$N$198,0)</f>
        <v>0</v>
      </c>
      <c r="BJ198" s="6" t="s">
        <v>21</v>
      </c>
      <c r="BK198" s="81">
        <f>ROUND($L$198*$K$198,2)</f>
        <v>0</v>
      </c>
      <c r="BL198" s="6" t="s">
        <v>219</v>
      </c>
    </row>
    <row r="199" spans="2:63" s="113" customFormat="1" ht="30.75" customHeight="1">
      <c r="B199" s="114"/>
      <c r="D199" s="122" t="s">
        <v>112</v>
      </c>
      <c r="N199" s="195">
        <f>$BK$199</f>
        <v>0</v>
      </c>
      <c r="O199" s="196"/>
      <c r="P199" s="196"/>
      <c r="Q199" s="196"/>
      <c r="R199" s="117"/>
      <c r="T199" s="118"/>
      <c r="W199" s="119">
        <f>SUM($W$200:$W$210)</f>
        <v>3.776392</v>
      </c>
      <c r="Y199" s="119">
        <f>SUM($Y$200:$Y$210)</f>
        <v>0.12107612</v>
      </c>
      <c r="AA199" s="120">
        <f>SUM($AA$200:$AA$210)</f>
        <v>0</v>
      </c>
      <c r="AR199" s="116" t="s">
        <v>97</v>
      </c>
      <c r="AT199" s="116" t="s">
        <v>81</v>
      </c>
      <c r="AU199" s="116" t="s">
        <v>21</v>
      </c>
      <c r="AY199" s="116" t="s">
        <v>145</v>
      </c>
      <c r="BK199" s="121">
        <f>SUM($BK$200:$BK$210)</f>
        <v>0</v>
      </c>
    </row>
    <row r="200" spans="2:64" s="6" customFormat="1" ht="27" customHeight="1">
      <c r="B200" s="22"/>
      <c r="C200" s="123" t="s">
        <v>291</v>
      </c>
      <c r="D200" s="123" t="s">
        <v>146</v>
      </c>
      <c r="E200" s="124" t="s">
        <v>292</v>
      </c>
      <c r="F200" s="205" t="s">
        <v>293</v>
      </c>
      <c r="G200" s="200"/>
      <c r="H200" s="200"/>
      <c r="I200" s="200"/>
      <c r="J200" s="125" t="s">
        <v>149</v>
      </c>
      <c r="K200" s="126">
        <v>0.122</v>
      </c>
      <c r="L200" s="199">
        <v>0</v>
      </c>
      <c r="M200" s="200"/>
      <c r="N200" s="201">
        <f>ROUND($L$200*$K$200,2)</f>
        <v>0</v>
      </c>
      <c r="O200" s="200"/>
      <c r="P200" s="200"/>
      <c r="Q200" s="200"/>
      <c r="R200" s="23"/>
      <c r="T200" s="127"/>
      <c r="U200" s="29" t="s">
        <v>47</v>
      </c>
      <c r="V200" s="128">
        <v>1.56</v>
      </c>
      <c r="W200" s="128">
        <f>$V$200*$K$200</f>
        <v>0.19032</v>
      </c>
      <c r="X200" s="128">
        <v>0.00108</v>
      </c>
      <c r="Y200" s="128">
        <f>$X$200*$K$200</f>
        <v>0.00013176</v>
      </c>
      <c r="Z200" s="128">
        <v>0</v>
      </c>
      <c r="AA200" s="129">
        <f>$Z$200*$K$200</f>
        <v>0</v>
      </c>
      <c r="AR200" s="6" t="s">
        <v>219</v>
      </c>
      <c r="AT200" s="6" t="s">
        <v>146</v>
      </c>
      <c r="AU200" s="6" t="s">
        <v>97</v>
      </c>
      <c r="AY200" s="6" t="s">
        <v>145</v>
      </c>
      <c r="BE200" s="81">
        <f>IF($U$200="základní",$N$200,0)</f>
        <v>0</v>
      </c>
      <c r="BF200" s="81">
        <f>IF($U$200="snížená",$N$200,0)</f>
        <v>0</v>
      </c>
      <c r="BG200" s="81">
        <f>IF($U$200="zákl. přenesená",$N$200,0)</f>
        <v>0</v>
      </c>
      <c r="BH200" s="81">
        <f>IF($U$200="sníž. přenesená",$N$200,0)</f>
        <v>0</v>
      </c>
      <c r="BI200" s="81">
        <f>IF($U$200="nulová",$N$200,0)</f>
        <v>0</v>
      </c>
      <c r="BJ200" s="6" t="s">
        <v>21</v>
      </c>
      <c r="BK200" s="81">
        <f>ROUND($L$200*$K$200,2)</f>
        <v>0</v>
      </c>
      <c r="BL200" s="6" t="s">
        <v>219</v>
      </c>
    </row>
    <row r="201" spans="2:51" s="6" customFormat="1" ht="15.75" customHeight="1">
      <c r="B201" s="130"/>
      <c r="E201" s="131"/>
      <c r="F201" s="203" t="s">
        <v>294</v>
      </c>
      <c r="G201" s="204"/>
      <c r="H201" s="204"/>
      <c r="I201" s="204"/>
      <c r="K201" s="132">
        <v>0.122</v>
      </c>
      <c r="R201" s="133"/>
      <c r="T201" s="134"/>
      <c r="AA201" s="135"/>
      <c r="AT201" s="131" t="s">
        <v>152</v>
      </c>
      <c r="AU201" s="131" t="s">
        <v>97</v>
      </c>
      <c r="AV201" s="131" t="s">
        <v>97</v>
      </c>
      <c r="AW201" s="131" t="s">
        <v>104</v>
      </c>
      <c r="AX201" s="131" t="s">
        <v>21</v>
      </c>
      <c r="AY201" s="131" t="s">
        <v>145</v>
      </c>
    </row>
    <row r="202" spans="2:64" s="6" customFormat="1" ht="39" customHeight="1">
      <c r="B202" s="22"/>
      <c r="C202" s="123" t="s">
        <v>295</v>
      </c>
      <c r="D202" s="123" t="s">
        <v>146</v>
      </c>
      <c r="E202" s="124" t="s">
        <v>296</v>
      </c>
      <c r="F202" s="205" t="s">
        <v>297</v>
      </c>
      <c r="G202" s="200"/>
      <c r="H202" s="200"/>
      <c r="I202" s="200"/>
      <c r="J202" s="125" t="s">
        <v>156</v>
      </c>
      <c r="K202" s="126">
        <v>7.81</v>
      </c>
      <c r="L202" s="199">
        <v>0</v>
      </c>
      <c r="M202" s="200"/>
      <c r="N202" s="201">
        <f>ROUND($L$202*$K$202,2)</f>
        <v>0</v>
      </c>
      <c r="O202" s="200"/>
      <c r="P202" s="200"/>
      <c r="Q202" s="200"/>
      <c r="R202" s="23"/>
      <c r="T202" s="127"/>
      <c r="U202" s="29" t="s">
        <v>47</v>
      </c>
      <c r="V202" s="128">
        <v>0.268</v>
      </c>
      <c r="W202" s="128">
        <f>$V$202*$K$202</f>
        <v>2.09308</v>
      </c>
      <c r="X202" s="128">
        <v>0</v>
      </c>
      <c r="Y202" s="128">
        <f>$X$202*$K$202</f>
        <v>0</v>
      </c>
      <c r="Z202" s="128">
        <v>0</v>
      </c>
      <c r="AA202" s="129">
        <f>$Z$202*$K$202</f>
        <v>0</v>
      </c>
      <c r="AR202" s="6" t="s">
        <v>219</v>
      </c>
      <c r="AT202" s="6" t="s">
        <v>146</v>
      </c>
      <c r="AU202" s="6" t="s">
        <v>97</v>
      </c>
      <c r="AY202" s="6" t="s">
        <v>145</v>
      </c>
      <c r="BE202" s="81">
        <f>IF($U$202="základní",$N$202,0)</f>
        <v>0</v>
      </c>
      <c r="BF202" s="81">
        <f>IF($U$202="snížená",$N$202,0)</f>
        <v>0</v>
      </c>
      <c r="BG202" s="81">
        <f>IF($U$202="zákl. přenesená",$N$202,0)</f>
        <v>0</v>
      </c>
      <c r="BH202" s="81">
        <f>IF($U$202="sníž. přenesená",$N$202,0)</f>
        <v>0</v>
      </c>
      <c r="BI202" s="81">
        <f>IF($U$202="nulová",$N$202,0)</f>
        <v>0</v>
      </c>
      <c r="BJ202" s="6" t="s">
        <v>21</v>
      </c>
      <c r="BK202" s="81">
        <f>ROUND($L$202*$K$202,2)</f>
        <v>0</v>
      </c>
      <c r="BL202" s="6" t="s">
        <v>219</v>
      </c>
    </row>
    <row r="203" spans="2:51" s="6" customFormat="1" ht="15.75" customHeight="1">
      <c r="B203" s="130"/>
      <c r="E203" s="131"/>
      <c r="F203" s="203" t="s">
        <v>298</v>
      </c>
      <c r="G203" s="204"/>
      <c r="H203" s="204"/>
      <c r="I203" s="204"/>
      <c r="K203" s="132">
        <v>7.81</v>
      </c>
      <c r="R203" s="133"/>
      <c r="T203" s="134"/>
      <c r="AA203" s="135"/>
      <c r="AT203" s="131" t="s">
        <v>152</v>
      </c>
      <c r="AU203" s="131" t="s">
        <v>97</v>
      </c>
      <c r="AV203" s="131" t="s">
        <v>97</v>
      </c>
      <c r="AW203" s="131" t="s">
        <v>104</v>
      </c>
      <c r="AX203" s="131" t="s">
        <v>21</v>
      </c>
      <c r="AY203" s="131" t="s">
        <v>145</v>
      </c>
    </row>
    <row r="204" spans="2:64" s="6" customFormat="1" ht="27" customHeight="1">
      <c r="B204" s="22"/>
      <c r="C204" s="142" t="s">
        <v>299</v>
      </c>
      <c r="D204" s="142" t="s">
        <v>176</v>
      </c>
      <c r="E204" s="143" t="s">
        <v>300</v>
      </c>
      <c r="F204" s="206" t="s">
        <v>301</v>
      </c>
      <c r="G204" s="207"/>
      <c r="H204" s="207"/>
      <c r="I204" s="207"/>
      <c r="J204" s="144" t="s">
        <v>149</v>
      </c>
      <c r="K204" s="145">
        <v>0.134</v>
      </c>
      <c r="L204" s="208">
        <v>0</v>
      </c>
      <c r="M204" s="207"/>
      <c r="N204" s="209">
        <f>ROUND($L$204*$K$204,2)</f>
        <v>0</v>
      </c>
      <c r="O204" s="200"/>
      <c r="P204" s="200"/>
      <c r="Q204" s="200"/>
      <c r="R204" s="23"/>
      <c r="T204" s="127"/>
      <c r="U204" s="29" t="s">
        <v>47</v>
      </c>
      <c r="V204" s="128">
        <v>0</v>
      </c>
      <c r="W204" s="128">
        <f>$V$204*$K$204</f>
        <v>0</v>
      </c>
      <c r="X204" s="128">
        <v>0.55</v>
      </c>
      <c r="Y204" s="128">
        <f>$X$204*$K$204</f>
        <v>0.07370000000000002</v>
      </c>
      <c r="Z204" s="128">
        <v>0</v>
      </c>
      <c r="AA204" s="129">
        <f>$Z$204*$K$204</f>
        <v>0</v>
      </c>
      <c r="AR204" s="6" t="s">
        <v>279</v>
      </c>
      <c r="AT204" s="6" t="s">
        <v>176</v>
      </c>
      <c r="AU204" s="6" t="s">
        <v>97</v>
      </c>
      <c r="AY204" s="6" t="s">
        <v>145</v>
      </c>
      <c r="BE204" s="81">
        <f>IF($U$204="základní",$N$204,0)</f>
        <v>0</v>
      </c>
      <c r="BF204" s="81">
        <f>IF($U$204="snížená",$N$204,0)</f>
        <v>0</v>
      </c>
      <c r="BG204" s="81">
        <f>IF($U$204="zákl. přenesená",$N$204,0)</f>
        <v>0</v>
      </c>
      <c r="BH204" s="81">
        <f>IF($U$204="sníž. přenesená",$N$204,0)</f>
        <v>0</v>
      </c>
      <c r="BI204" s="81">
        <f>IF($U$204="nulová",$N$204,0)</f>
        <v>0</v>
      </c>
      <c r="BJ204" s="6" t="s">
        <v>21</v>
      </c>
      <c r="BK204" s="81">
        <f>ROUND($L$204*$K$204,2)</f>
        <v>0</v>
      </c>
      <c r="BL204" s="6" t="s">
        <v>219</v>
      </c>
    </row>
    <row r="205" spans="2:51" s="6" customFormat="1" ht="15.75" customHeight="1">
      <c r="B205" s="130"/>
      <c r="E205" s="131"/>
      <c r="F205" s="203" t="s">
        <v>302</v>
      </c>
      <c r="G205" s="204"/>
      <c r="H205" s="204"/>
      <c r="I205" s="204"/>
      <c r="K205" s="132">
        <v>0.134</v>
      </c>
      <c r="R205" s="133"/>
      <c r="T205" s="134"/>
      <c r="AA205" s="135"/>
      <c r="AT205" s="131" t="s">
        <v>152</v>
      </c>
      <c r="AU205" s="131" t="s">
        <v>97</v>
      </c>
      <c r="AV205" s="131" t="s">
        <v>97</v>
      </c>
      <c r="AW205" s="131" t="s">
        <v>104</v>
      </c>
      <c r="AX205" s="131" t="s">
        <v>21</v>
      </c>
      <c r="AY205" s="131" t="s">
        <v>145</v>
      </c>
    </row>
    <row r="206" spans="2:64" s="6" customFormat="1" ht="27" customHeight="1">
      <c r="B206" s="22"/>
      <c r="C206" s="123" t="s">
        <v>8</v>
      </c>
      <c r="D206" s="123" t="s">
        <v>146</v>
      </c>
      <c r="E206" s="124" t="s">
        <v>303</v>
      </c>
      <c r="F206" s="205" t="s">
        <v>304</v>
      </c>
      <c r="G206" s="200"/>
      <c r="H206" s="200"/>
      <c r="I206" s="200"/>
      <c r="J206" s="125" t="s">
        <v>149</v>
      </c>
      <c r="K206" s="126">
        <v>0.134</v>
      </c>
      <c r="L206" s="199">
        <v>0</v>
      </c>
      <c r="M206" s="200"/>
      <c r="N206" s="201">
        <f>ROUND($L$206*$K$206,2)</f>
        <v>0</v>
      </c>
      <c r="O206" s="200"/>
      <c r="P206" s="200"/>
      <c r="Q206" s="200"/>
      <c r="R206" s="23"/>
      <c r="T206" s="127"/>
      <c r="U206" s="29" t="s">
        <v>47</v>
      </c>
      <c r="V206" s="128">
        <v>0</v>
      </c>
      <c r="W206" s="128">
        <f>$V$206*$K$206</f>
        <v>0</v>
      </c>
      <c r="X206" s="128">
        <v>0.01266</v>
      </c>
      <c r="Y206" s="128">
        <f>$X$206*$K$206</f>
        <v>0.00169644</v>
      </c>
      <c r="Z206" s="128">
        <v>0</v>
      </c>
      <c r="AA206" s="129">
        <f>$Z$206*$K$206</f>
        <v>0</v>
      </c>
      <c r="AR206" s="6" t="s">
        <v>219</v>
      </c>
      <c r="AT206" s="6" t="s">
        <v>146</v>
      </c>
      <c r="AU206" s="6" t="s">
        <v>97</v>
      </c>
      <c r="AY206" s="6" t="s">
        <v>145</v>
      </c>
      <c r="BE206" s="81">
        <f>IF($U$206="základní",$N$206,0)</f>
        <v>0</v>
      </c>
      <c r="BF206" s="81">
        <f>IF($U$206="snížená",$N$206,0)</f>
        <v>0</v>
      </c>
      <c r="BG206" s="81">
        <f>IF($U$206="zákl. přenesená",$N$206,0)</f>
        <v>0</v>
      </c>
      <c r="BH206" s="81">
        <f>IF($U$206="sníž. přenesená",$N$206,0)</f>
        <v>0</v>
      </c>
      <c r="BI206" s="81">
        <f>IF($U$206="nulová",$N$206,0)</f>
        <v>0</v>
      </c>
      <c r="BJ206" s="6" t="s">
        <v>21</v>
      </c>
      <c r="BK206" s="81">
        <f>ROUND($L$206*$K$206,2)</f>
        <v>0</v>
      </c>
      <c r="BL206" s="6" t="s">
        <v>219</v>
      </c>
    </row>
    <row r="207" spans="2:64" s="6" customFormat="1" ht="27" customHeight="1">
      <c r="B207" s="22"/>
      <c r="C207" s="123" t="s">
        <v>219</v>
      </c>
      <c r="D207" s="123" t="s">
        <v>146</v>
      </c>
      <c r="E207" s="124" t="s">
        <v>305</v>
      </c>
      <c r="F207" s="205" t="s">
        <v>306</v>
      </c>
      <c r="G207" s="200"/>
      <c r="H207" s="200"/>
      <c r="I207" s="200"/>
      <c r="J207" s="125" t="s">
        <v>161</v>
      </c>
      <c r="K207" s="126">
        <v>5.832</v>
      </c>
      <c r="L207" s="199">
        <v>0</v>
      </c>
      <c r="M207" s="200"/>
      <c r="N207" s="201">
        <f>ROUND($L$207*$K$207,2)</f>
        <v>0</v>
      </c>
      <c r="O207" s="200"/>
      <c r="P207" s="200"/>
      <c r="Q207" s="200"/>
      <c r="R207" s="23"/>
      <c r="T207" s="127"/>
      <c r="U207" s="29" t="s">
        <v>47</v>
      </c>
      <c r="V207" s="128">
        <v>0.256</v>
      </c>
      <c r="W207" s="128">
        <f>$V$207*$K$207</f>
        <v>1.492992</v>
      </c>
      <c r="X207" s="128">
        <v>0.00761</v>
      </c>
      <c r="Y207" s="128">
        <f>$X$207*$K$207</f>
        <v>0.044381519999999994</v>
      </c>
      <c r="Z207" s="128">
        <v>0</v>
      </c>
      <c r="AA207" s="129">
        <f>$Z$207*$K$207</f>
        <v>0</v>
      </c>
      <c r="AR207" s="6" t="s">
        <v>219</v>
      </c>
      <c r="AT207" s="6" t="s">
        <v>146</v>
      </c>
      <c r="AU207" s="6" t="s">
        <v>97</v>
      </c>
      <c r="AY207" s="6" t="s">
        <v>145</v>
      </c>
      <c r="BE207" s="81">
        <f>IF($U$207="základní",$N$207,0)</f>
        <v>0</v>
      </c>
      <c r="BF207" s="81">
        <f>IF($U$207="snížená",$N$207,0)</f>
        <v>0</v>
      </c>
      <c r="BG207" s="81">
        <f>IF($U$207="zákl. přenesená",$N$207,0)</f>
        <v>0</v>
      </c>
      <c r="BH207" s="81">
        <f>IF($U$207="sníž. přenesená",$N$207,0)</f>
        <v>0</v>
      </c>
      <c r="BI207" s="81">
        <f>IF($U$207="nulová",$N$207,0)</f>
        <v>0</v>
      </c>
      <c r="BJ207" s="6" t="s">
        <v>21</v>
      </c>
      <c r="BK207" s="81">
        <f>ROUND($L$207*$K$207,2)</f>
        <v>0</v>
      </c>
      <c r="BL207" s="6" t="s">
        <v>219</v>
      </c>
    </row>
    <row r="208" spans="2:51" s="6" customFormat="1" ht="15.75" customHeight="1">
      <c r="B208" s="130"/>
      <c r="E208" s="131"/>
      <c r="F208" s="203" t="s">
        <v>307</v>
      </c>
      <c r="G208" s="204"/>
      <c r="H208" s="204"/>
      <c r="I208" s="204"/>
      <c r="K208" s="132">
        <v>5.832</v>
      </c>
      <c r="R208" s="133"/>
      <c r="T208" s="134"/>
      <c r="AA208" s="135"/>
      <c r="AT208" s="131" t="s">
        <v>152</v>
      </c>
      <c r="AU208" s="131" t="s">
        <v>97</v>
      </c>
      <c r="AV208" s="131" t="s">
        <v>97</v>
      </c>
      <c r="AW208" s="131" t="s">
        <v>104</v>
      </c>
      <c r="AX208" s="131" t="s">
        <v>21</v>
      </c>
      <c r="AY208" s="131" t="s">
        <v>145</v>
      </c>
    </row>
    <row r="209" spans="2:64" s="6" customFormat="1" ht="27" customHeight="1">
      <c r="B209" s="22"/>
      <c r="C209" s="123" t="s">
        <v>308</v>
      </c>
      <c r="D209" s="123" t="s">
        <v>146</v>
      </c>
      <c r="E209" s="124" t="s">
        <v>309</v>
      </c>
      <c r="F209" s="205" t="s">
        <v>310</v>
      </c>
      <c r="G209" s="200"/>
      <c r="H209" s="200"/>
      <c r="I209" s="200"/>
      <c r="J209" s="125" t="s">
        <v>161</v>
      </c>
      <c r="K209" s="126">
        <v>5.832</v>
      </c>
      <c r="L209" s="199">
        <v>0</v>
      </c>
      <c r="M209" s="200"/>
      <c r="N209" s="201">
        <f>ROUND($L$209*$K$209,2)</f>
        <v>0</v>
      </c>
      <c r="O209" s="200"/>
      <c r="P209" s="200"/>
      <c r="Q209" s="200"/>
      <c r="R209" s="23"/>
      <c r="T209" s="127"/>
      <c r="U209" s="29" t="s">
        <v>47</v>
      </c>
      <c r="V209" s="128">
        <v>0</v>
      </c>
      <c r="W209" s="128">
        <f>$V$209*$K$209</f>
        <v>0</v>
      </c>
      <c r="X209" s="128">
        <v>0.0002</v>
      </c>
      <c r="Y209" s="128">
        <f>$X$209*$K$209</f>
        <v>0.0011664</v>
      </c>
      <c r="Z209" s="128">
        <v>0</v>
      </c>
      <c r="AA209" s="129">
        <f>$Z$209*$K$209</f>
        <v>0</v>
      </c>
      <c r="AR209" s="6" t="s">
        <v>219</v>
      </c>
      <c r="AT209" s="6" t="s">
        <v>146</v>
      </c>
      <c r="AU209" s="6" t="s">
        <v>97</v>
      </c>
      <c r="AY209" s="6" t="s">
        <v>145</v>
      </c>
      <c r="BE209" s="81">
        <f>IF($U$209="základní",$N$209,0)</f>
        <v>0</v>
      </c>
      <c r="BF209" s="81">
        <f>IF($U$209="snížená",$N$209,0)</f>
        <v>0</v>
      </c>
      <c r="BG209" s="81">
        <f>IF($U$209="zákl. přenesená",$N$209,0)</f>
        <v>0</v>
      </c>
      <c r="BH209" s="81">
        <f>IF($U$209="sníž. přenesená",$N$209,0)</f>
        <v>0</v>
      </c>
      <c r="BI209" s="81">
        <f>IF($U$209="nulová",$N$209,0)</f>
        <v>0</v>
      </c>
      <c r="BJ209" s="6" t="s">
        <v>21</v>
      </c>
      <c r="BK209" s="81">
        <f>ROUND($L$209*$K$209,2)</f>
        <v>0</v>
      </c>
      <c r="BL209" s="6" t="s">
        <v>219</v>
      </c>
    </row>
    <row r="210" spans="2:64" s="6" customFormat="1" ht="27" customHeight="1">
      <c r="B210" s="22"/>
      <c r="C210" s="123" t="s">
        <v>311</v>
      </c>
      <c r="D210" s="123" t="s">
        <v>146</v>
      </c>
      <c r="E210" s="124" t="s">
        <v>312</v>
      </c>
      <c r="F210" s="205" t="s">
        <v>313</v>
      </c>
      <c r="G210" s="200"/>
      <c r="H210" s="200"/>
      <c r="I210" s="200"/>
      <c r="J210" s="125" t="s">
        <v>290</v>
      </c>
      <c r="K210" s="146">
        <v>0</v>
      </c>
      <c r="L210" s="199">
        <v>0</v>
      </c>
      <c r="M210" s="200"/>
      <c r="N210" s="201">
        <f>ROUND($L$210*$K$210,2)</f>
        <v>0</v>
      </c>
      <c r="O210" s="200"/>
      <c r="P210" s="200"/>
      <c r="Q210" s="200"/>
      <c r="R210" s="23"/>
      <c r="T210" s="127"/>
      <c r="U210" s="29" t="s">
        <v>47</v>
      </c>
      <c r="V210" s="128">
        <v>0</v>
      </c>
      <c r="W210" s="128">
        <f>$V$210*$K$210</f>
        <v>0</v>
      </c>
      <c r="X210" s="128">
        <v>0</v>
      </c>
      <c r="Y210" s="128">
        <f>$X$210*$K$210</f>
        <v>0</v>
      </c>
      <c r="Z210" s="128">
        <v>0</v>
      </c>
      <c r="AA210" s="129">
        <f>$Z$210*$K$210</f>
        <v>0</v>
      </c>
      <c r="AR210" s="6" t="s">
        <v>219</v>
      </c>
      <c r="AT210" s="6" t="s">
        <v>146</v>
      </c>
      <c r="AU210" s="6" t="s">
        <v>97</v>
      </c>
      <c r="AY210" s="6" t="s">
        <v>145</v>
      </c>
      <c r="BE210" s="81">
        <f>IF($U$210="základní",$N$210,0)</f>
        <v>0</v>
      </c>
      <c r="BF210" s="81">
        <f>IF($U$210="snížená",$N$210,0)</f>
        <v>0</v>
      </c>
      <c r="BG210" s="81">
        <f>IF($U$210="zákl. přenesená",$N$210,0)</f>
        <v>0</v>
      </c>
      <c r="BH210" s="81">
        <f>IF($U$210="sníž. přenesená",$N$210,0)</f>
        <v>0</v>
      </c>
      <c r="BI210" s="81">
        <f>IF($U$210="nulová",$N$210,0)</f>
        <v>0</v>
      </c>
      <c r="BJ210" s="6" t="s">
        <v>21</v>
      </c>
      <c r="BK210" s="81">
        <f>ROUND($L$210*$K$210,2)</f>
        <v>0</v>
      </c>
      <c r="BL210" s="6" t="s">
        <v>219</v>
      </c>
    </row>
    <row r="211" spans="2:63" s="113" customFormat="1" ht="30.75" customHeight="1">
      <c r="B211" s="114"/>
      <c r="D211" s="122" t="s">
        <v>113</v>
      </c>
      <c r="N211" s="195">
        <f>$BK$211</f>
        <v>0</v>
      </c>
      <c r="O211" s="196"/>
      <c r="P211" s="196"/>
      <c r="Q211" s="196"/>
      <c r="R211" s="117"/>
      <c r="T211" s="118"/>
      <c r="W211" s="119">
        <f>SUM($W$212:$W$215)</f>
        <v>7.6744</v>
      </c>
      <c r="Y211" s="119">
        <f>SUM($Y$212:$Y$215)</f>
        <v>0.02552</v>
      </c>
      <c r="AA211" s="120">
        <f>SUM($AA$212:$AA$215)</f>
        <v>0.032238</v>
      </c>
      <c r="AR211" s="116" t="s">
        <v>97</v>
      </c>
      <c r="AT211" s="116" t="s">
        <v>81</v>
      </c>
      <c r="AU211" s="116" t="s">
        <v>21</v>
      </c>
      <c r="AY211" s="116" t="s">
        <v>145</v>
      </c>
      <c r="BK211" s="121">
        <f>SUM($BK$212:$BK$215)</f>
        <v>0</v>
      </c>
    </row>
    <row r="212" spans="2:64" s="6" customFormat="1" ht="27" customHeight="1">
      <c r="B212" s="22"/>
      <c r="C212" s="123" t="s">
        <v>314</v>
      </c>
      <c r="D212" s="123" t="s">
        <v>146</v>
      </c>
      <c r="E212" s="124" t="s">
        <v>315</v>
      </c>
      <c r="F212" s="205" t="s">
        <v>316</v>
      </c>
      <c r="G212" s="200"/>
      <c r="H212" s="200"/>
      <c r="I212" s="200"/>
      <c r="J212" s="125" t="s">
        <v>156</v>
      </c>
      <c r="K212" s="126">
        <v>22</v>
      </c>
      <c r="L212" s="199">
        <v>0</v>
      </c>
      <c r="M212" s="200"/>
      <c r="N212" s="201">
        <f>ROUND($L$212*$K$212,2)</f>
        <v>0</v>
      </c>
      <c r="O212" s="200"/>
      <c r="P212" s="200"/>
      <c r="Q212" s="200"/>
      <c r="R212" s="23"/>
      <c r="T212" s="127"/>
      <c r="U212" s="29" t="s">
        <v>47</v>
      </c>
      <c r="V212" s="128">
        <v>0.262</v>
      </c>
      <c r="W212" s="128">
        <f>$V$212*$K$212</f>
        <v>5.764</v>
      </c>
      <c r="X212" s="128">
        <v>0.00116</v>
      </c>
      <c r="Y212" s="128">
        <f>$X$212*$K$212</f>
        <v>0.02552</v>
      </c>
      <c r="Z212" s="128">
        <v>0</v>
      </c>
      <c r="AA212" s="129">
        <f>$Z$212*$K$212</f>
        <v>0</v>
      </c>
      <c r="AR212" s="6" t="s">
        <v>219</v>
      </c>
      <c r="AT212" s="6" t="s">
        <v>146</v>
      </c>
      <c r="AU212" s="6" t="s">
        <v>97</v>
      </c>
      <c r="AY212" s="6" t="s">
        <v>145</v>
      </c>
      <c r="BE212" s="81">
        <f>IF($U$212="základní",$N$212,0)</f>
        <v>0</v>
      </c>
      <c r="BF212" s="81">
        <f>IF($U$212="snížená",$N$212,0)</f>
        <v>0</v>
      </c>
      <c r="BG212" s="81">
        <f>IF($U$212="zákl. přenesená",$N$212,0)</f>
        <v>0</v>
      </c>
      <c r="BH212" s="81">
        <f>IF($U$212="sníž. přenesená",$N$212,0)</f>
        <v>0</v>
      </c>
      <c r="BI212" s="81">
        <f>IF($U$212="nulová",$N$212,0)</f>
        <v>0</v>
      </c>
      <c r="BJ212" s="6" t="s">
        <v>21</v>
      </c>
      <c r="BK212" s="81">
        <f>ROUND($L$212*$K$212,2)</f>
        <v>0</v>
      </c>
      <c r="BL212" s="6" t="s">
        <v>219</v>
      </c>
    </row>
    <row r="213" spans="2:64" s="6" customFormat="1" ht="15.75" customHeight="1">
      <c r="B213" s="22"/>
      <c r="C213" s="123" t="s">
        <v>317</v>
      </c>
      <c r="D213" s="123" t="s">
        <v>146</v>
      </c>
      <c r="E213" s="124" t="s">
        <v>318</v>
      </c>
      <c r="F213" s="205" t="s">
        <v>319</v>
      </c>
      <c r="G213" s="200"/>
      <c r="H213" s="200"/>
      <c r="I213" s="200"/>
      <c r="J213" s="125" t="s">
        <v>156</v>
      </c>
      <c r="K213" s="126">
        <v>23.88</v>
      </c>
      <c r="L213" s="199">
        <v>0</v>
      </c>
      <c r="M213" s="200"/>
      <c r="N213" s="201">
        <f>ROUND($L$213*$K$213,2)</f>
        <v>0</v>
      </c>
      <c r="O213" s="200"/>
      <c r="P213" s="200"/>
      <c r="Q213" s="200"/>
      <c r="R213" s="23"/>
      <c r="T213" s="127"/>
      <c r="U213" s="29" t="s">
        <v>47</v>
      </c>
      <c r="V213" s="128">
        <v>0.08</v>
      </c>
      <c r="W213" s="128">
        <f>$V$213*$K$213</f>
        <v>1.9103999999999999</v>
      </c>
      <c r="X213" s="128">
        <v>0</v>
      </c>
      <c r="Y213" s="128">
        <f>$X$213*$K$213</f>
        <v>0</v>
      </c>
      <c r="Z213" s="128">
        <v>0.00135</v>
      </c>
      <c r="AA213" s="129">
        <f>$Z$213*$K$213</f>
        <v>0.032238</v>
      </c>
      <c r="AR213" s="6" t="s">
        <v>219</v>
      </c>
      <c r="AT213" s="6" t="s">
        <v>146</v>
      </c>
      <c r="AU213" s="6" t="s">
        <v>97</v>
      </c>
      <c r="AY213" s="6" t="s">
        <v>145</v>
      </c>
      <c r="BE213" s="81">
        <f>IF($U$213="základní",$N$213,0)</f>
        <v>0</v>
      </c>
      <c r="BF213" s="81">
        <f>IF($U$213="snížená",$N$213,0)</f>
        <v>0</v>
      </c>
      <c r="BG213" s="81">
        <f>IF($U$213="zákl. přenesená",$N$213,0)</f>
        <v>0</v>
      </c>
      <c r="BH213" s="81">
        <f>IF($U$213="sníž. přenesená",$N$213,0)</f>
        <v>0</v>
      </c>
      <c r="BI213" s="81">
        <f>IF($U$213="nulová",$N$213,0)</f>
        <v>0</v>
      </c>
      <c r="BJ213" s="6" t="s">
        <v>21</v>
      </c>
      <c r="BK213" s="81">
        <f>ROUND($L$213*$K$213,2)</f>
        <v>0</v>
      </c>
      <c r="BL213" s="6" t="s">
        <v>219</v>
      </c>
    </row>
    <row r="214" spans="2:51" s="6" customFormat="1" ht="15.75" customHeight="1">
      <c r="B214" s="130"/>
      <c r="E214" s="131"/>
      <c r="F214" s="203" t="s">
        <v>320</v>
      </c>
      <c r="G214" s="204"/>
      <c r="H214" s="204"/>
      <c r="I214" s="204"/>
      <c r="K214" s="132">
        <v>23.88</v>
      </c>
      <c r="R214" s="133"/>
      <c r="T214" s="134"/>
      <c r="AA214" s="135"/>
      <c r="AT214" s="131" t="s">
        <v>152</v>
      </c>
      <c r="AU214" s="131" t="s">
        <v>97</v>
      </c>
      <c r="AV214" s="131" t="s">
        <v>97</v>
      </c>
      <c r="AW214" s="131" t="s">
        <v>104</v>
      </c>
      <c r="AX214" s="131" t="s">
        <v>21</v>
      </c>
      <c r="AY214" s="131" t="s">
        <v>145</v>
      </c>
    </row>
    <row r="215" spans="2:64" s="6" customFormat="1" ht="27" customHeight="1">
      <c r="B215" s="22"/>
      <c r="C215" s="123" t="s">
        <v>321</v>
      </c>
      <c r="D215" s="123" t="s">
        <v>146</v>
      </c>
      <c r="E215" s="124" t="s">
        <v>322</v>
      </c>
      <c r="F215" s="205" t="s">
        <v>323</v>
      </c>
      <c r="G215" s="200"/>
      <c r="H215" s="200"/>
      <c r="I215" s="200"/>
      <c r="J215" s="125" t="s">
        <v>290</v>
      </c>
      <c r="K215" s="146">
        <v>0</v>
      </c>
      <c r="L215" s="199">
        <v>0</v>
      </c>
      <c r="M215" s="200"/>
      <c r="N215" s="201">
        <f>ROUND($L$215*$K$215,2)</f>
        <v>0</v>
      </c>
      <c r="O215" s="200"/>
      <c r="P215" s="200"/>
      <c r="Q215" s="200"/>
      <c r="R215" s="23"/>
      <c r="T215" s="127"/>
      <c r="U215" s="29" t="s">
        <v>47</v>
      </c>
      <c r="V215" s="128">
        <v>0</v>
      </c>
      <c r="W215" s="128">
        <f>$V$215*$K$215</f>
        <v>0</v>
      </c>
      <c r="X215" s="128">
        <v>0</v>
      </c>
      <c r="Y215" s="128">
        <f>$X$215*$K$215</f>
        <v>0</v>
      </c>
      <c r="Z215" s="128">
        <v>0</v>
      </c>
      <c r="AA215" s="129">
        <f>$Z$215*$K$215</f>
        <v>0</v>
      </c>
      <c r="AR215" s="6" t="s">
        <v>219</v>
      </c>
      <c r="AT215" s="6" t="s">
        <v>146</v>
      </c>
      <c r="AU215" s="6" t="s">
        <v>97</v>
      </c>
      <c r="AY215" s="6" t="s">
        <v>145</v>
      </c>
      <c r="BE215" s="81">
        <f>IF($U$215="základní",$N$215,0)</f>
        <v>0</v>
      </c>
      <c r="BF215" s="81">
        <f>IF($U$215="snížená",$N$215,0)</f>
        <v>0</v>
      </c>
      <c r="BG215" s="81">
        <f>IF($U$215="zákl. přenesená",$N$215,0)</f>
        <v>0</v>
      </c>
      <c r="BH215" s="81">
        <f>IF($U$215="sníž. přenesená",$N$215,0)</f>
        <v>0</v>
      </c>
      <c r="BI215" s="81">
        <f>IF($U$215="nulová",$N$215,0)</f>
        <v>0</v>
      </c>
      <c r="BJ215" s="6" t="s">
        <v>21</v>
      </c>
      <c r="BK215" s="81">
        <f>ROUND($L$215*$K$215,2)</f>
        <v>0</v>
      </c>
      <c r="BL215" s="6" t="s">
        <v>219</v>
      </c>
    </row>
    <row r="216" spans="2:63" s="113" customFormat="1" ht="30.75" customHeight="1">
      <c r="B216" s="114"/>
      <c r="D216" s="122" t="s">
        <v>114</v>
      </c>
      <c r="N216" s="195">
        <f>$BK$216</f>
        <v>0</v>
      </c>
      <c r="O216" s="196"/>
      <c r="P216" s="196"/>
      <c r="Q216" s="196"/>
      <c r="R216" s="117"/>
      <c r="T216" s="118"/>
      <c r="W216" s="119">
        <f>SUM($W$217:$W$243)</f>
        <v>250.55953599999998</v>
      </c>
      <c r="Y216" s="119">
        <f>SUM($Y$217:$Y$243)</f>
        <v>0.5244904999999999</v>
      </c>
      <c r="AA216" s="120">
        <f>SUM($AA$217:$AA$243)</f>
        <v>0.058</v>
      </c>
      <c r="AR216" s="116" t="s">
        <v>97</v>
      </c>
      <c r="AT216" s="116" t="s">
        <v>81</v>
      </c>
      <c r="AU216" s="116" t="s">
        <v>21</v>
      </c>
      <c r="AY216" s="116" t="s">
        <v>145</v>
      </c>
      <c r="BK216" s="121">
        <f>SUM($BK$217:$BK$243)</f>
        <v>0</v>
      </c>
    </row>
    <row r="217" spans="2:64" s="6" customFormat="1" ht="27" customHeight="1">
      <c r="B217" s="22"/>
      <c r="C217" s="123" t="s">
        <v>324</v>
      </c>
      <c r="D217" s="123" t="s">
        <v>146</v>
      </c>
      <c r="E217" s="124" t="s">
        <v>325</v>
      </c>
      <c r="F217" s="205" t="s">
        <v>326</v>
      </c>
      <c r="G217" s="200"/>
      <c r="H217" s="200"/>
      <c r="I217" s="200"/>
      <c r="J217" s="125" t="s">
        <v>161</v>
      </c>
      <c r="K217" s="126">
        <v>15.613</v>
      </c>
      <c r="L217" s="199">
        <v>0</v>
      </c>
      <c r="M217" s="200"/>
      <c r="N217" s="201">
        <f>ROUND($L$217*$K$217,2)</f>
        <v>0</v>
      </c>
      <c r="O217" s="200"/>
      <c r="P217" s="200"/>
      <c r="Q217" s="200"/>
      <c r="R217" s="23"/>
      <c r="T217" s="127"/>
      <c r="U217" s="29" t="s">
        <v>47</v>
      </c>
      <c r="V217" s="128">
        <v>1.73</v>
      </c>
      <c r="W217" s="128">
        <f>$V$217*$K$217</f>
        <v>27.010489999999997</v>
      </c>
      <c r="X217" s="128">
        <v>0.00025</v>
      </c>
      <c r="Y217" s="128">
        <f>$X$217*$K$217</f>
        <v>0.00390325</v>
      </c>
      <c r="Z217" s="128">
        <v>0</v>
      </c>
      <c r="AA217" s="129">
        <f>$Z$217*$K$217</f>
        <v>0</v>
      </c>
      <c r="AR217" s="6" t="s">
        <v>219</v>
      </c>
      <c r="AT217" s="6" t="s">
        <v>146</v>
      </c>
      <c r="AU217" s="6" t="s">
        <v>97</v>
      </c>
      <c r="AY217" s="6" t="s">
        <v>145</v>
      </c>
      <c r="BE217" s="81">
        <f>IF($U$217="základní",$N$217,0)</f>
        <v>0</v>
      </c>
      <c r="BF217" s="81">
        <f>IF($U$217="snížená",$N$217,0)</f>
        <v>0</v>
      </c>
      <c r="BG217" s="81">
        <f>IF($U$217="zákl. přenesená",$N$217,0)</f>
        <v>0</v>
      </c>
      <c r="BH217" s="81">
        <f>IF($U$217="sníž. přenesená",$N$217,0)</f>
        <v>0</v>
      </c>
      <c r="BI217" s="81">
        <f>IF($U$217="nulová",$N$217,0)</f>
        <v>0</v>
      </c>
      <c r="BJ217" s="6" t="s">
        <v>21</v>
      </c>
      <c r="BK217" s="81">
        <f>ROUND($L$217*$K$217,2)</f>
        <v>0</v>
      </c>
      <c r="BL217" s="6" t="s">
        <v>219</v>
      </c>
    </row>
    <row r="218" spans="2:51" s="6" customFormat="1" ht="15.75" customHeight="1">
      <c r="B218" s="130"/>
      <c r="E218" s="131"/>
      <c r="F218" s="203" t="s">
        <v>327</v>
      </c>
      <c r="G218" s="204"/>
      <c r="H218" s="204"/>
      <c r="I218" s="204"/>
      <c r="K218" s="132">
        <v>15.613</v>
      </c>
      <c r="R218" s="133"/>
      <c r="T218" s="134"/>
      <c r="AA218" s="135"/>
      <c r="AT218" s="131" t="s">
        <v>152</v>
      </c>
      <c r="AU218" s="131" t="s">
        <v>97</v>
      </c>
      <c r="AV218" s="131" t="s">
        <v>97</v>
      </c>
      <c r="AW218" s="131" t="s">
        <v>104</v>
      </c>
      <c r="AX218" s="131" t="s">
        <v>21</v>
      </c>
      <c r="AY218" s="131" t="s">
        <v>145</v>
      </c>
    </row>
    <row r="219" spans="2:64" s="6" customFormat="1" ht="27" customHeight="1">
      <c r="B219" s="22"/>
      <c r="C219" s="123" t="s">
        <v>328</v>
      </c>
      <c r="D219" s="123" t="s">
        <v>146</v>
      </c>
      <c r="E219" s="124" t="s">
        <v>329</v>
      </c>
      <c r="F219" s="205" t="s">
        <v>330</v>
      </c>
      <c r="G219" s="200"/>
      <c r="H219" s="200"/>
      <c r="I219" s="200"/>
      <c r="J219" s="125" t="s">
        <v>161</v>
      </c>
      <c r="K219" s="126">
        <v>24.829</v>
      </c>
      <c r="L219" s="199">
        <v>0</v>
      </c>
      <c r="M219" s="200"/>
      <c r="N219" s="201">
        <f>ROUND($L$219*$K$219,2)</f>
        <v>0</v>
      </c>
      <c r="O219" s="200"/>
      <c r="P219" s="200"/>
      <c r="Q219" s="200"/>
      <c r="R219" s="23"/>
      <c r="T219" s="127"/>
      <c r="U219" s="29" t="s">
        <v>47</v>
      </c>
      <c r="V219" s="128">
        <v>1.774</v>
      </c>
      <c r="W219" s="128">
        <f>$V$219*$K$219</f>
        <v>44.046646</v>
      </c>
      <c r="X219" s="128">
        <v>0.00025</v>
      </c>
      <c r="Y219" s="128">
        <f>$X$219*$K$219</f>
        <v>0.00620725</v>
      </c>
      <c r="Z219" s="128">
        <v>0</v>
      </c>
      <c r="AA219" s="129">
        <f>$Z$219*$K$219</f>
        <v>0</v>
      </c>
      <c r="AR219" s="6" t="s">
        <v>219</v>
      </c>
      <c r="AT219" s="6" t="s">
        <v>146</v>
      </c>
      <c r="AU219" s="6" t="s">
        <v>97</v>
      </c>
      <c r="AY219" s="6" t="s">
        <v>145</v>
      </c>
      <c r="BE219" s="81">
        <f>IF($U$219="základní",$N$219,0)</f>
        <v>0</v>
      </c>
      <c r="BF219" s="81">
        <f>IF($U$219="snížená",$N$219,0)</f>
        <v>0</v>
      </c>
      <c r="BG219" s="81">
        <f>IF($U$219="zákl. přenesená",$N$219,0)</f>
        <v>0</v>
      </c>
      <c r="BH219" s="81">
        <f>IF($U$219="sníž. přenesená",$N$219,0)</f>
        <v>0</v>
      </c>
      <c r="BI219" s="81">
        <f>IF($U$219="nulová",$N$219,0)</f>
        <v>0</v>
      </c>
      <c r="BJ219" s="6" t="s">
        <v>21</v>
      </c>
      <c r="BK219" s="81">
        <f>ROUND($L$219*$K$219,2)</f>
        <v>0</v>
      </c>
      <c r="BL219" s="6" t="s">
        <v>219</v>
      </c>
    </row>
    <row r="220" spans="2:51" s="6" customFormat="1" ht="15.75" customHeight="1">
      <c r="B220" s="130"/>
      <c r="E220" s="131"/>
      <c r="F220" s="203" t="s">
        <v>331</v>
      </c>
      <c r="G220" s="204"/>
      <c r="H220" s="204"/>
      <c r="I220" s="204"/>
      <c r="K220" s="132">
        <v>24.829</v>
      </c>
      <c r="R220" s="133"/>
      <c r="T220" s="134"/>
      <c r="AA220" s="135"/>
      <c r="AT220" s="131" t="s">
        <v>152</v>
      </c>
      <c r="AU220" s="131" t="s">
        <v>97</v>
      </c>
      <c r="AV220" s="131" t="s">
        <v>97</v>
      </c>
      <c r="AW220" s="131" t="s">
        <v>104</v>
      </c>
      <c r="AX220" s="131" t="s">
        <v>21</v>
      </c>
      <c r="AY220" s="131" t="s">
        <v>145</v>
      </c>
    </row>
    <row r="221" spans="2:64" s="6" customFormat="1" ht="27" customHeight="1">
      <c r="B221" s="22"/>
      <c r="C221" s="142" t="s">
        <v>7</v>
      </c>
      <c r="D221" s="142" t="s">
        <v>176</v>
      </c>
      <c r="E221" s="143" t="s">
        <v>332</v>
      </c>
      <c r="F221" s="206" t="s">
        <v>333</v>
      </c>
      <c r="G221" s="207"/>
      <c r="H221" s="207"/>
      <c r="I221" s="207"/>
      <c r="J221" s="144" t="s">
        <v>334</v>
      </c>
      <c r="K221" s="145">
        <v>4</v>
      </c>
      <c r="L221" s="208">
        <v>0</v>
      </c>
      <c r="M221" s="207"/>
      <c r="N221" s="209">
        <f>ROUND($L$221*$K$221,2)</f>
        <v>0</v>
      </c>
      <c r="O221" s="200"/>
      <c r="P221" s="200"/>
      <c r="Q221" s="200"/>
      <c r="R221" s="23"/>
      <c r="T221" s="127"/>
      <c r="U221" s="29" t="s">
        <v>47</v>
      </c>
      <c r="V221" s="128">
        <v>0</v>
      </c>
      <c r="W221" s="128">
        <f>$V$221*$K$221</f>
        <v>0</v>
      </c>
      <c r="X221" s="128">
        <v>0.0249</v>
      </c>
      <c r="Y221" s="128">
        <f>$X$221*$K$221</f>
        <v>0.0996</v>
      </c>
      <c r="Z221" s="128">
        <v>0</v>
      </c>
      <c r="AA221" s="129">
        <f>$Z$221*$K$221</f>
        <v>0</v>
      </c>
      <c r="AR221" s="6" t="s">
        <v>279</v>
      </c>
      <c r="AT221" s="6" t="s">
        <v>176</v>
      </c>
      <c r="AU221" s="6" t="s">
        <v>97</v>
      </c>
      <c r="AY221" s="6" t="s">
        <v>145</v>
      </c>
      <c r="BE221" s="81">
        <f>IF($U$221="základní",$N$221,0)</f>
        <v>0</v>
      </c>
      <c r="BF221" s="81">
        <f>IF($U$221="snížená",$N$221,0)</f>
        <v>0</v>
      </c>
      <c r="BG221" s="81">
        <f>IF($U$221="zákl. přenesená",$N$221,0)</f>
        <v>0</v>
      </c>
      <c r="BH221" s="81">
        <f>IF($U$221="sníž. přenesená",$N$221,0)</f>
        <v>0</v>
      </c>
      <c r="BI221" s="81">
        <f>IF($U$221="nulová",$N$221,0)</f>
        <v>0</v>
      </c>
      <c r="BJ221" s="6" t="s">
        <v>21</v>
      </c>
      <c r="BK221" s="81">
        <f>ROUND($L$221*$K$221,2)</f>
        <v>0</v>
      </c>
      <c r="BL221" s="6" t="s">
        <v>219</v>
      </c>
    </row>
    <row r="222" spans="2:64" s="6" customFormat="1" ht="27" customHeight="1">
      <c r="B222" s="22"/>
      <c r="C222" s="142" t="s">
        <v>335</v>
      </c>
      <c r="D222" s="142" t="s">
        <v>176</v>
      </c>
      <c r="E222" s="143" t="s">
        <v>336</v>
      </c>
      <c r="F222" s="206" t="s">
        <v>337</v>
      </c>
      <c r="G222" s="207"/>
      <c r="H222" s="207"/>
      <c r="I222" s="207"/>
      <c r="J222" s="144" t="s">
        <v>334</v>
      </c>
      <c r="K222" s="145">
        <v>1</v>
      </c>
      <c r="L222" s="208">
        <v>0</v>
      </c>
      <c r="M222" s="207"/>
      <c r="N222" s="209">
        <f>ROUND($L$222*$K$222,2)</f>
        <v>0</v>
      </c>
      <c r="O222" s="200"/>
      <c r="P222" s="200"/>
      <c r="Q222" s="200"/>
      <c r="R222" s="23"/>
      <c r="T222" s="127"/>
      <c r="U222" s="29" t="s">
        <v>47</v>
      </c>
      <c r="V222" s="128">
        <v>0</v>
      </c>
      <c r="W222" s="128">
        <f>$V$222*$K$222</f>
        <v>0</v>
      </c>
      <c r="X222" s="128">
        <v>0.0311</v>
      </c>
      <c r="Y222" s="128">
        <f>$X$222*$K$222</f>
        <v>0.0311</v>
      </c>
      <c r="Z222" s="128">
        <v>0</v>
      </c>
      <c r="AA222" s="129">
        <f>$Z$222*$K$222</f>
        <v>0</v>
      </c>
      <c r="AR222" s="6" t="s">
        <v>279</v>
      </c>
      <c r="AT222" s="6" t="s">
        <v>176</v>
      </c>
      <c r="AU222" s="6" t="s">
        <v>97</v>
      </c>
      <c r="AY222" s="6" t="s">
        <v>145</v>
      </c>
      <c r="BE222" s="81">
        <f>IF($U$222="základní",$N$222,0)</f>
        <v>0</v>
      </c>
      <c r="BF222" s="81">
        <f>IF($U$222="snížená",$N$222,0)</f>
        <v>0</v>
      </c>
      <c r="BG222" s="81">
        <f>IF($U$222="zákl. přenesená",$N$222,0)</f>
        <v>0</v>
      </c>
      <c r="BH222" s="81">
        <f>IF($U$222="sníž. přenesená",$N$222,0)</f>
        <v>0</v>
      </c>
      <c r="BI222" s="81">
        <f>IF($U$222="nulová",$N$222,0)</f>
        <v>0</v>
      </c>
      <c r="BJ222" s="6" t="s">
        <v>21</v>
      </c>
      <c r="BK222" s="81">
        <f>ROUND($L$222*$K$222,2)</f>
        <v>0</v>
      </c>
      <c r="BL222" s="6" t="s">
        <v>219</v>
      </c>
    </row>
    <row r="223" spans="2:64" s="6" customFormat="1" ht="27" customHeight="1">
      <c r="B223" s="22"/>
      <c r="C223" s="142" t="s">
        <v>338</v>
      </c>
      <c r="D223" s="142" t="s">
        <v>176</v>
      </c>
      <c r="E223" s="143" t="s">
        <v>339</v>
      </c>
      <c r="F223" s="206" t="s">
        <v>340</v>
      </c>
      <c r="G223" s="207"/>
      <c r="H223" s="207"/>
      <c r="I223" s="207"/>
      <c r="J223" s="144" t="s">
        <v>334</v>
      </c>
      <c r="K223" s="145">
        <v>4</v>
      </c>
      <c r="L223" s="208">
        <v>0</v>
      </c>
      <c r="M223" s="207"/>
      <c r="N223" s="209">
        <f>ROUND($L$223*$K$223,2)</f>
        <v>0</v>
      </c>
      <c r="O223" s="200"/>
      <c r="P223" s="200"/>
      <c r="Q223" s="200"/>
      <c r="R223" s="23"/>
      <c r="T223" s="127"/>
      <c r="U223" s="29" t="s">
        <v>47</v>
      </c>
      <c r="V223" s="128">
        <v>0</v>
      </c>
      <c r="W223" s="128">
        <f>$V$223*$K$223</f>
        <v>0</v>
      </c>
      <c r="X223" s="128">
        <v>0.0311</v>
      </c>
      <c r="Y223" s="128">
        <f>$X$223*$K$223</f>
        <v>0.1244</v>
      </c>
      <c r="Z223" s="128">
        <v>0</v>
      </c>
      <c r="AA223" s="129">
        <f>$Z$223*$K$223</f>
        <v>0</v>
      </c>
      <c r="AR223" s="6" t="s">
        <v>279</v>
      </c>
      <c r="AT223" s="6" t="s">
        <v>176</v>
      </c>
      <c r="AU223" s="6" t="s">
        <v>97</v>
      </c>
      <c r="AY223" s="6" t="s">
        <v>145</v>
      </c>
      <c r="BE223" s="81">
        <f>IF($U$223="základní",$N$223,0)</f>
        <v>0</v>
      </c>
      <c r="BF223" s="81">
        <f>IF($U$223="snížená",$N$223,0)</f>
        <v>0</v>
      </c>
      <c r="BG223" s="81">
        <f>IF($U$223="zákl. přenesená",$N$223,0)</f>
        <v>0</v>
      </c>
      <c r="BH223" s="81">
        <f>IF($U$223="sníž. přenesená",$N$223,0)</f>
        <v>0</v>
      </c>
      <c r="BI223" s="81">
        <f>IF($U$223="nulová",$N$223,0)</f>
        <v>0</v>
      </c>
      <c r="BJ223" s="6" t="s">
        <v>21</v>
      </c>
      <c r="BK223" s="81">
        <f>ROUND($L$223*$K$223,2)</f>
        <v>0</v>
      </c>
      <c r="BL223" s="6" t="s">
        <v>219</v>
      </c>
    </row>
    <row r="224" spans="2:64" s="6" customFormat="1" ht="27" customHeight="1">
      <c r="B224" s="22"/>
      <c r="C224" s="142" t="s">
        <v>341</v>
      </c>
      <c r="D224" s="142" t="s">
        <v>176</v>
      </c>
      <c r="E224" s="143" t="s">
        <v>342</v>
      </c>
      <c r="F224" s="206" t="s">
        <v>343</v>
      </c>
      <c r="G224" s="207"/>
      <c r="H224" s="207"/>
      <c r="I224" s="207"/>
      <c r="J224" s="144" t="s">
        <v>334</v>
      </c>
      <c r="K224" s="145">
        <v>1</v>
      </c>
      <c r="L224" s="208">
        <v>0</v>
      </c>
      <c r="M224" s="207"/>
      <c r="N224" s="209">
        <f>ROUND($L$224*$K$224,2)</f>
        <v>0</v>
      </c>
      <c r="O224" s="200"/>
      <c r="P224" s="200"/>
      <c r="Q224" s="200"/>
      <c r="R224" s="23"/>
      <c r="T224" s="127"/>
      <c r="U224" s="29" t="s">
        <v>47</v>
      </c>
      <c r="V224" s="128">
        <v>0</v>
      </c>
      <c r="W224" s="128">
        <f>$V$224*$K$224</f>
        <v>0</v>
      </c>
      <c r="X224" s="128">
        <v>0.0467</v>
      </c>
      <c r="Y224" s="128">
        <f>$X$224*$K$224</f>
        <v>0.0467</v>
      </c>
      <c r="Z224" s="128">
        <v>0</v>
      </c>
      <c r="AA224" s="129">
        <f>$Z$224*$K$224</f>
        <v>0</v>
      </c>
      <c r="AR224" s="6" t="s">
        <v>279</v>
      </c>
      <c r="AT224" s="6" t="s">
        <v>176</v>
      </c>
      <c r="AU224" s="6" t="s">
        <v>97</v>
      </c>
      <c r="AY224" s="6" t="s">
        <v>145</v>
      </c>
      <c r="BE224" s="81">
        <f>IF($U$224="základní",$N$224,0)</f>
        <v>0</v>
      </c>
      <c r="BF224" s="81">
        <f>IF($U$224="snížená",$N$224,0)</f>
        <v>0</v>
      </c>
      <c r="BG224" s="81">
        <f>IF($U$224="zákl. přenesená",$N$224,0)</f>
        <v>0</v>
      </c>
      <c r="BH224" s="81">
        <f>IF($U$224="sníž. přenesená",$N$224,0)</f>
        <v>0</v>
      </c>
      <c r="BI224" s="81">
        <f>IF($U$224="nulová",$N$224,0)</f>
        <v>0</v>
      </c>
      <c r="BJ224" s="6" t="s">
        <v>21</v>
      </c>
      <c r="BK224" s="81">
        <f>ROUND($L$224*$K$224,2)</f>
        <v>0</v>
      </c>
      <c r="BL224" s="6" t="s">
        <v>219</v>
      </c>
    </row>
    <row r="225" spans="2:64" s="6" customFormat="1" ht="27" customHeight="1">
      <c r="B225" s="22"/>
      <c r="C225" s="142" t="s">
        <v>344</v>
      </c>
      <c r="D225" s="142" t="s">
        <v>176</v>
      </c>
      <c r="E225" s="143" t="s">
        <v>345</v>
      </c>
      <c r="F225" s="206" t="s">
        <v>346</v>
      </c>
      <c r="G225" s="207"/>
      <c r="H225" s="207"/>
      <c r="I225" s="207"/>
      <c r="J225" s="144" t="s">
        <v>334</v>
      </c>
      <c r="K225" s="145">
        <v>3</v>
      </c>
      <c r="L225" s="208">
        <v>0</v>
      </c>
      <c r="M225" s="207"/>
      <c r="N225" s="209">
        <f>ROUND($L$225*$K$225,2)</f>
        <v>0</v>
      </c>
      <c r="O225" s="200"/>
      <c r="P225" s="200"/>
      <c r="Q225" s="200"/>
      <c r="R225" s="23"/>
      <c r="T225" s="127"/>
      <c r="U225" s="29" t="s">
        <v>47</v>
      </c>
      <c r="V225" s="128">
        <v>0</v>
      </c>
      <c r="W225" s="128">
        <f>$V$225*$K$225</f>
        <v>0</v>
      </c>
      <c r="X225" s="128">
        <v>0.0622</v>
      </c>
      <c r="Y225" s="128">
        <f>$X$225*$K$225</f>
        <v>0.1866</v>
      </c>
      <c r="Z225" s="128">
        <v>0</v>
      </c>
      <c r="AA225" s="129">
        <f>$Z$225*$K$225</f>
        <v>0</v>
      </c>
      <c r="AR225" s="6" t="s">
        <v>279</v>
      </c>
      <c r="AT225" s="6" t="s">
        <v>176</v>
      </c>
      <c r="AU225" s="6" t="s">
        <v>97</v>
      </c>
      <c r="AY225" s="6" t="s">
        <v>145</v>
      </c>
      <c r="BE225" s="81">
        <f>IF($U$225="základní",$N$225,0)</f>
        <v>0</v>
      </c>
      <c r="BF225" s="81">
        <f>IF($U$225="snížená",$N$225,0)</f>
        <v>0</v>
      </c>
      <c r="BG225" s="81">
        <f>IF($U$225="zákl. přenesená",$N$225,0)</f>
        <v>0</v>
      </c>
      <c r="BH225" s="81">
        <f>IF($U$225="sníž. přenesená",$N$225,0)</f>
        <v>0</v>
      </c>
      <c r="BI225" s="81">
        <f>IF($U$225="nulová",$N$225,0)</f>
        <v>0</v>
      </c>
      <c r="BJ225" s="6" t="s">
        <v>21</v>
      </c>
      <c r="BK225" s="81">
        <f>ROUND($L$225*$K$225,2)</f>
        <v>0</v>
      </c>
      <c r="BL225" s="6" t="s">
        <v>219</v>
      </c>
    </row>
    <row r="226" spans="2:64" s="6" customFormat="1" ht="27" customHeight="1">
      <c r="B226" s="22"/>
      <c r="C226" s="123" t="s">
        <v>347</v>
      </c>
      <c r="D226" s="123" t="s">
        <v>146</v>
      </c>
      <c r="E226" s="124" t="s">
        <v>348</v>
      </c>
      <c r="F226" s="205" t="s">
        <v>349</v>
      </c>
      <c r="G226" s="200"/>
      <c r="H226" s="200"/>
      <c r="I226" s="200"/>
      <c r="J226" s="125" t="s">
        <v>156</v>
      </c>
      <c r="K226" s="126">
        <v>155.928</v>
      </c>
      <c r="L226" s="199">
        <v>0</v>
      </c>
      <c r="M226" s="200"/>
      <c r="N226" s="201">
        <f>ROUND($L$226*$K$226,2)</f>
        <v>0</v>
      </c>
      <c r="O226" s="200"/>
      <c r="P226" s="200"/>
      <c r="Q226" s="200"/>
      <c r="R226" s="23"/>
      <c r="T226" s="127"/>
      <c r="U226" s="29" t="s">
        <v>47</v>
      </c>
      <c r="V226" s="128">
        <v>0.4</v>
      </c>
      <c r="W226" s="128">
        <f>$V$226*$K$226</f>
        <v>62.3712</v>
      </c>
      <c r="X226" s="128">
        <v>0</v>
      </c>
      <c r="Y226" s="128">
        <f>$X$226*$K$226</f>
        <v>0</v>
      </c>
      <c r="Z226" s="128">
        <v>0</v>
      </c>
      <c r="AA226" s="129">
        <f>$Z$226*$K$226</f>
        <v>0</v>
      </c>
      <c r="AR226" s="6" t="s">
        <v>219</v>
      </c>
      <c r="AT226" s="6" t="s">
        <v>146</v>
      </c>
      <c r="AU226" s="6" t="s">
        <v>97</v>
      </c>
      <c r="AY226" s="6" t="s">
        <v>145</v>
      </c>
      <c r="BE226" s="81">
        <f>IF($U$226="základní",$N$226,0)</f>
        <v>0</v>
      </c>
      <c r="BF226" s="81">
        <f>IF($U$226="snížená",$N$226,0)</f>
        <v>0</v>
      </c>
      <c r="BG226" s="81">
        <f>IF($U$226="zákl. přenesená",$N$226,0)</f>
        <v>0</v>
      </c>
      <c r="BH226" s="81">
        <f>IF($U$226="sníž. přenesená",$N$226,0)</f>
        <v>0</v>
      </c>
      <c r="BI226" s="81">
        <f>IF($U$226="nulová",$N$226,0)</f>
        <v>0</v>
      </c>
      <c r="BJ226" s="6" t="s">
        <v>21</v>
      </c>
      <c r="BK226" s="81">
        <f>ROUND($L$226*$K$226,2)</f>
        <v>0</v>
      </c>
      <c r="BL226" s="6" t="s">
        <v>219</v>
      </c>
    </row>
    <row r="227" spans="2:51" s="6" customFormat="1" ht="27" customHeight="1">
      <c r="B227" s="130"/>
      <c r="E227" s="131"/>
      <c r="F227" s="203" t="s">
        <v>350</v>
      </c>
      <c r="G227" s="204"/>
      <c r="H227" s="204"/>
      <c r="I227" s="204"/>
      <c r="K227" s="132">
        <v>29.52</v>
      </c>
      <c r="R227" s="133"/>
      <c r="T227" s="134"/>
      <c r="AA227" s="135"/>
      <c r="AT227" s="131" t="s">
        <v>152</v>
      </c>
      <c r="AU227" s="131" t="s">
        <v>97</v>
      </c>
      <c r="AV227" s="131" t="s">
        <v>97</v>
      </c>
      <c r="AW227" s="131" t="s">
        <v>104</v>
      </c>
      <c r="AX227" s="131" t="s">
        <v>82</v>
      </c>
      <c r="AY227" s="131" t="s">
        <v>145</v>
      </c>
    </row>
    <row r="228" spans="2:51" s="6" customFormat="1" ht="27" customHeight="1">
      <c r="B228" s="130"/>
      <c r="E228" s="131"/>
      <c r="F228" s="203" t="s">
        <v>351</v>
      </c>
      <c r="G228" s="204"/>
      <c r="H228" s="204"/>
      <c r="I228" s="204"/>
      <c r="K228" s="132">
        <v>92.04</v>
      </c>
      <c r="R228" s="133"/>
      <c r="T228" s="134"/>
      <c r="AA228" s="135"/>
      <c r="AT228" s="131" t="s">
        <v>152</v>
      </c>
      <c r="AU228" s="131" t="s">
        <v>97</v>
      </c>
      <c r="AV228" s="131" t="s">
        <v>97</v>
      </c>
      <c r="AW228" s="131" t="s">
        <v>104</v>
      </c>
      <c r="AX228" s="131" t="s">
        <v>82</v>
      </c>
      <c r="AY228" s="131" t="s">
        <v>145</v>
      </c>
    </row>
    <row r="229" spans="2:51" s="6" customFormat="1" ht="15.75" customHeight="1">
      <c r="B229" s="130"/>
      <c r="E229" s="131"/>
      <c r="F229" s="203" t="s">
        <v>352</v>
      </c>
      <c r="G229" s="204"/>
      <c r="H229" s="204"/>
      <c r="I229" s="204"/>
      <c r="K229" s="132">
        <v>34.368</v>
      </c>
      <c r="R229" s="133"/>
      <c r="T229" s="134"/>
      <c r="AA229" s="135"/>
      <c r="AT229" s="131" t="s">
        <v>152</v>
      </c>
      <c r="AU229" s="131" t="s">
        <v>97</v>
      </c>
      <c r="AV229" s="131" t="s">
        <v>97</v>
      </c>
      <c r="AW229" s="131" t="s">
        <v>104</v>
      </c>
      <c r="AX229" s="131" t="s">
        <v>82</v>
      </c>
      <c r="AY229" s="131" t="s">
        <v>145</v>
      </c>
    </row>
    <row r="230" spans="2:51" s="6" customFormat="1" ht="15.75" customHeight="1">
      <c r="B230" s="136"/>
      <c r="E230" s="137"/>
      <c r="F230" s="210" t="s">
        <v>167</v>
      </c>
      <c r="G230" s="211"/>
      <c r="H230" s="211"/>
      <c r="I230" s="211"/>
      <c r="K230" s="138">
        <v>155.928</v>
      </c>
      <c r="R230" s="139"/>
      <c r="T230" s="140"/>
      <c r="AA230" s="141"/>
      <c r="AT230" s="137" t="s">
        <v>152</v>
      </c>
      <c r="AU230" s="137" t="s">
        <v>97</v>
      </c>
      <c r="AV230" s="137" t="s">
        <v>150</v>
      </c>
      <c r="AW230" s="137" t="s">
        <v>104</v>
      </c>
      <c r="AX230" s="137" t="s">
        <v>21</v>
      </c>
      <c r="AY230" s="137" t="s">
        <v>145</v>
      </c>
    </row>
    <row r="231" spans="2:64" s="6" customFormat="1" ht="15.75" customHeight="1">
      <c r="B231" s="22"/>
      <c r="C231" s="123" t="s">
        <v>353</v>
      </c>
      <c r="D231" s="123" t="s">
        <v>146</v>
      </c>
      <c r="E231" s="124" t="s">
        <v>354</v>
      </c>
      <c r="F231" s="205" t="s">
        <v>355</v>
      </c>
      <c r="G231" s="200"/>
      <c r="H231" s="200"/>
      <c r="I231" s="200"/>
      <c r="J231" s="125" t="s">
        <v>156</v>
      </c>
      <c r="K231" s="126">
        <v>155.928</v>
      </c>
      <c r="L231" s="199">
        <v>0</v>
      </c>
      <c r="M231" s="200"/>
      <c r="N231" s="201">
        <f>ROUND($L$231*$K$231,2)</f>
        <v>0</v>
      </c>
      <c r="O231" s="200"/>
      <c r="P231" s="200"/>
      <c r="Q231" s="200"/>
      <c r="R231" s="23"/>
      <c r="T231" s="127"/>
      <c r="U231" s="29" t="s">
        <v>47</v>
      </c>
      <c r="V231" s="128">
        <v>0.4</v>
      </c>
      <c r="W231" s="128">
        <f>$V$231*$K$231</f>
        <v>62.3712</v>
      </c>
      <c r="X231" s="128">
        <v>0</v>
      </c>
      <c r="Y231" s="128">
        <f>$X$231*$K$231</f>
        <v>0</v>
      </c>
      <c r="Z231" s="128">
        <v>0</v>
      </c>
      <c r="AA231" s="129">
        <f>$Z$231*$K$231</f>
        <v>0</v>
      </c>
      <c r="AR231" s="6" t="s">
        <v>219</v>
      </c>
      <c r="AT231" s="6" t="s">
        <v>146</v>
      </c>
      <c r="AU231" s="6" t="s">
        <v>97</v>
      </c>
      <c r="AY231" s="6" t="s">
        <v>145</v>
      </c>
      <c r="BE231" s="81">
        <f>IF($U$231="základní",$N$231,0)</f>
        <v>0</v>
      </c>
      <c r="BF231" s="81">
        <f>IF($U$231="snížená",$N$231,0)</f>
        <v>0</v>
      </c>
      <c r="BG231" s="81">
        <f>IF($U$231="zákl. přenesená",$N$231,0)</f>
        <v>0</v>
      </c>
      <c r="BH231" s="81">
        <f>IF($U$231="sníž. přenesená",$N$231,0)</f>
        <v>0</v>
      </c>
      <c r="BI231" s="81">
        <f>IF($U$231="nulová",$N$231,0)</f>
        <v>0</v>
      </c>
      <c r="BJ231" s="6" t="s">
        <v>21</v>
      </c>
      <c r="BK231" s="81">
        <f>ROUND($L$231*$K$231,2)</f>
        <v>0</v>
      </c>
      <c r="BL231" s="6" t="s">
        <v>219</v>
      </c>
    </row>
    <row r="232" spans="2:64" s="6" customFormat="1" ht="27" customHeight="1">
      <c r="B232" s="22"/>
      <c r="C232" s="123" t="s">
        <v>356</v>
      </c>
      <c r="D232" s="123" t="s">
        <v>146</v>
      </c>
      <c r="E232" s="124" t="s">
        <v>357</v>
      </c>
      <c r="F232" s="205" t="s">
        <v>358</v>
      </c>
      <c r="G232" s="200"/>
      <c r="H232" s="200"/>
      <c r="I232" s="200"/>
      <c r="J232" s="125" t="s">
        <v>334</v>
      </c>
      <c r="K232" s="126">
        <v>3</v>
      </c>
      <c r="L232" s="199">
        <v>0</v>
      </c>
      <c r="M232" s="200"/>
      <c r="N232" s="201">
        <f>ROUND($L$232*$K$232,2)</f>
        <v>0</v>
      </c>
      <c r="O232" s="200"/>
      <c r="P232" s="200"/>
      <c r="Q232" s="200"/>
      <c r="R232" s="23"/>
      <c r="T232" s="127"/>
      <c r="U232" s="29" t="s">
        <v>47</v>
      </c>
      <c r="V232" s="128">
        <v>1.754</v>
      </c>
      <c r="W232" s="128">
        <f>$V$232*$K$232</f>
        <v>5.2620000000000005</v>
      </c>
      <c r="X232" s="128">
        <v>0.00025</v>
      </c>
      <c r="Y232" s="128">
        <f>$X$232*$K$232</f>
        <v>0.00075</v>
      </c>
      <c r="Z232" s="128">
        <v>0</v>
      </c>
      <c r="AA232" s="129">
        <f>$Z$232*$K$232</f>
        <v>0</v>
      </c>
      <c r="AR232" s="6" t="s">
        <v>219</v>
      </c>
      <c r="AT232" s="6" t="s">
        <v>146</v>
      </c>
      <c r="AU232" s="6" t="s">
        <v>97</v>
      </c>
      <c r="AY232" s="6" t="s">
        <v>145</v>
      </c>
      <c r="BE232" s="81">
        <f>IF($U$232="základní",$N$232,0)</f>
        <v>0</v>
      </c>
      <c r="BF232" s="81">
        <f>IF($U$232="snížená",$N$232,0)</f>
        <v>0</v>
      </c>
      <c r="BG232" s="81">
        <f>IF($U$232="zákl. přenesená",$N$232,0)</f>
        <v>0</v>
      </c>
      <c r="BH232" s="81">
        <f>IF($U$232="sníž. přenesená",$N$232,0)</f>
        <v>0</v>
      </c>
      <c r="BI232" s="81">
        <f>IF($U$232="nulová",$N$232,0)</f>
        <v>0</v>
      </c>
      <c r="BJ232" s="6" t="s">
        <v>21</v>
      </c>
      <c r="BK232" s="81">
        <f>ROUND($L$232*$K$232,2)</f>
        <v>0</v>
      </c>
      <c r="BL232" s="6" t="s">
        <v>219</v>
      </c>
    </row>
    <row r="233" spans="2:64" s="6" customFormat="1" ht="27" customHeight="1">
      <c r="B233" s="22"/>
      <c r="C233" s="123" t="s">
        <v>359</v>
      </c>
      <c r="D233" s="123" t="s">
        <v>146</v>
      </c>
      <c r="E233" s="124" t="s">
        <v>360</v>
      </c>
      <c r="F233" s="205" t="s">
        <v>361</v>
      </c>
      <c r="G233" s="200"/>
      <c r="H233" s="200"/>
      <c r="I233" s="200"/>
      <c r="J233" s="125" t="s">
        <v>334</v>
      </c>
      <c r="K233" s="126">
        <v>1</v>
      </c>
      <c r="L233" s="199">
        <v>0</v>
      </c>
      <c r="M233" s="200"/>
      <c r="N233" s="201">
        <f>ROUND($L$233*$K$233,2)</f>
        <v>0</v>
      </c>
      <c r="O233" s="200"/>
      <c r="P233" s="200"/>
      <c r="Q233" s="200"/>
      <c r="R233" s="23"/>
      <c r="T233" s="127"/>
      <c r="U233" s="29" t="s">
        <v>47</v>
      </c>
      <c r="V233" s="128">
        <v>1.754</v>
      </c>
      <c r="W233" s="128">
        <f>$V$233*$K$233</f>
        <v>1.754</v>
      </c>
      <c r="X233" s="128">
        <v>0.00025</v>
      </c>
      <c r="Y233" s="128">
        <f>$X$233*$K$233</f>
        <v>0.00025</v>
      </c>
      <c r="Z233" s="128">
        <v>0</v>
      </c>
      <c r="AA233" s="129">
        <f>$Z$233*$K$233</f>
        <v>0</v>
      </c>
      <c r="AR233" s="6" t="s">
        <v>219</v>
      </c>
      <c r="AT233" s="6" t="s">
        <v>146</v>
      </c>
      <c r="AU233" s="6" t="s">
        <v>97</v>
      </c>
      <c r="AY233" s="6" t="s">
        <v>145</v>
      </c>
      <c r="BE233" s="81">
        <f>IF($U$233="základní",$N$233,0)</f>
        <v>0</v>
      </c>
      <c r="BF233" s="81">
        <f>IF($U$233="snížená",$N$233,0)</f>
        <v>0</v>
      </c>
      <c r="BG233" s="81">
        <f>IF($U$233="zákl. přenesená",$N$233,0)</f>
        <v>0</v>
      </c>
      <c r="BH233" s="81">
        <f>IF($U$233="sníž. přenesená",$N$233,0)</f>
        <v>0</v>
      </c>
      <c r="BI233" s="81">
        <f>IF($U$233="nulová",$N$233,0)</f>
        <v>0</v>
      </c>
      <c r="BJ233" s="6" t="s">
        <v>21</v>
      </c>
      <c r="BK233" s="81">
        <f>ROUND($L$233*$K$233,2)</f>
        <v>0</v>
      </c>
      <c r="BL233" s="6" t="s">
        <v>219</v>
      </c>
    </row>
    <row r="234" spans="2:64" s="6" customFormat="1" ht="39" customHeight="1">
      <c r="B234" s="22"/>
      <c r="C234" s="123" t="s">
        <v>362</v>
      </c>
      <c r="D234" s="123" t="s">
        <v>146</v>
      </c>
      <c r="E234" s="124" t="s">
        <v>363</v>
      </c>
      <c r="F234" s="205" t="s">
        <v>364</v>
      </c>
      <c r="G234" s="200"/>
      <c r="H234" s="200"/>
      <c r="I234" s="200"/>
      <c r="J234" s="125" t="s">
        <v>334</v>
      </c>
      <c r="K234" s="126">
        <v>1</v>
      </c>
      <c r="L234" s="199">
        <v>0</v>
      </c>
      <c r="M234" s="200"/>
      <c r="N234" s="201">
        <f>ROUND($L$234*$K$234,2)</f>
        <v>0</v>
      </c>
      <c r="O234" s="200"/>
      <c r="P234" s="200"/>
      <c r="Q234" s="200"/>
      <c r="R234" s="23"/>
      <c r="T234" s="127"/>
      <c r="U234" s="29" t="s">
        <v>47</v>
      </c>
      <c r="V234" s="128">
        <v>1.754</v>
      </c>
      <c r="W234" s="128">
        <f>$V$234*$K$234</f>
        <v>1.754</v>
      </c>
      <c r="X234" s="128">
        <v>0.00025</v>
      </c>
      <c r="Y234" s="128">
        <f>$X$234*$K$234</f>
        <v>0.00025</v>
      </c>
      <c r="Z234" s="128">
        <v>0</v>
      </c>
      <c r="AA234" s="129">
        <f>$Z$234*$K$234</f>
        <v>0</v>
      </c>
      <c r="AR234" s="6" t="s">
        <v>219</v>
      </c>
      <c r="AT234" s="6" t="s">
        <v>146</v>
      </c>
      <c r="AU234" s="6" t="s">
        <v>97</v>
      </c>
      <c r="AY234" s="6" t="s">
        <v>145</v>
      </c>
      <c r="BE234" s="81">
        <f>IF($U$234="základní",$N$234,0)</f>
        <v>0</v>
      </c>
      <c r="BF234" s="81">
        <f>IF($U$234="snížená",$N$234,0)</f>
        <v>0</v>
      </c>
      <c r="BG234" s="81">
        <f>IF($U$234="zákl. přenesená",$N$234,0)</f>
        <v>0</v>
      </c>
      <c r="BH234" s="81">
        <f>IF($U$234="sníž. přenesená",$N$234,0)</f>
        <v>0</v>
      </c>
      <c r="BI234" s="81">
        <f>IF($U$234="nulová",$N$234,0)</f>
        <v>0</v>
      </c>
      <c r="BJ234" s="6" t="s">
        <v>21</v>
      </c>
      <c r="BK234" s="81">
        <f>ROUND($L$234*$K$234,2)</f>
        <v>0</v>
      </c>
      <c r="BL234" s="6" t="s">
        <v>219</v>
      </c>
    </row>
    <row r="235" spans="2:64" s="6" customFormat="1" ht="27" customHeight="1">
      <c r="B235" s="22"/>
      <c r="C235" s="123" t="s">
        <v>365</v>
      </c>
      <c r="D235" s="123" t="s">
        <v>146</v>
      </c>
      <c r="E235" s="124" t="s">
        <v>366</v>
      </c>
      <c r="F235" s="205" t="s">
        <v>367</v>
      </c>
      <c r="G235" s="200"/>
      <c r="H235" s="200"/>
      <c r="I235" s="200"/>
      <c r="J235" s="125" t="s">
        <v>334</v>
      </c>
      <c r="K235" s="126">
        <v>4</v>
      </c>
      <c r="L235" s="199">
        <v>0</v>
      </c>
      <c r="M235" s="200"/>
      <c r="N235" s="201">
        <f>ROUND($L$235*$K$235,2)</f>
        <v>0</v>
      </c>
      <c r="O235" s="200"/>
      <c r="P235" s="200"/>
      <c r="Q235" s="200"/>
      <c r="R235" s="23"/>
      <c r="T235" s="127"/>
      <c r="U235" s="29" t="s">
        <v>47</v>
      </c>
      <c r="V235" s="128">
        <v>8.7</v>
      </c>
      <c r="W235" s="128">
        <f>$V$235*$K$235</f>
        <v>34.8</v>
      </c>
      <c r="X235" s="128">
        <v>0.00086</v>
      </c>
      <c r="Y235" s="128">
        <f>$X$235*$K$235</f>
        <v>0.00344</v>
      </c>
      <c r="Z235" s="128">
        <v>0</v>
      </c>
      <c r="AA235" s="129">
        <f>$Z$235*$K$235</f>
        <v>0</v>
      </c>
      <c r="AR235" s="6" t="s">
        <v>219</v>
      </c>
      <c r="AT235" s="6" t="s">
        <v>146</v>
      </c>
      <c r="AU235" s="6" t="s">
        <v>97</v>
      </c>
      <c r="AY235" s="6" t="s">
        <v>145</v>
      </c>
      <c r="BE235" s="81">
        <f>IF($U$235="základní",$N$235,0)</f>
        <v>0</v>
      </c>
      <c r="BF235" s="81">
        <f>IF($U$235="snížená",$N$235,0)</f>
        <v>0</v>
      </c>
      <c r="BG235" s="81">
        <f>IF($U$235="zákl. přenesená",$N$235,0)</f>
        <v>0</v>
      </c>
      <c r="BH235" s="81">
        <f>IF($U$235="sníž. přenesená",$N$235,0)</f>
        <v>0</v>
      </c>
      <c r="BI235" s="81">
        <f>IF($U$235="nulová",$N$235,0)</f>
        <v>0</v>
      </c>
      <c r="BJ235" s="6" t="s">
        <v>21</v>
      </c>
      <c r="BK235" s="81">
        <f>ROUND($L$235*$K$235,2)</f>
        <v>0</v>
      </c>
      <c r="BL235" s="6" t="s">
        <v>219</v>
      </c>
    </row>
    <row r="236" spans="2:64" s="6" customFormat="1" ht="27" customHeight="1">
      <c r="B236" s="22"/>
      <c r="C236" s="123" t="s">
        <v>279</v>
      </c>
      <c r="D236" s="123" t="s">
        <v>146</v>
      </c>
      <c r="E236" s="124" t="s">
        <v>368</v>
      </c>
      <c r="F236" s="205" t="s">
        <v>369</v>
      </c>
      <c r="G236" s="200"/>
      <c r="H236" s="200"/>
      <c r="I236" s="200"/>
      <c r="J236" s="125" t="s">
        <v>334</v>
      </c>
      <c r="K236" s="126">
        <v>1</v>
      </c>
      <c r="L236" s="199">
        <v>0</v>
      </c>
      <c r="M236" s="200"/>
      <c r="N236" s="201">
        <f>ROUND($L$236*$K$236,2)</f>
        <v>0</v>
      </c>
      <c r="O236" s="200"/>
      <c r="P236" s="200"/>
      <c r="Q236" s="200"/>
      <c r="R236" s="23"/>
      <c r="T236" s="127"/>
      <c r="U236" s="29" t="s">
        <v>47</v>
      </c>
      <c r="V236" s="128">
        <v>8.7</v>
      </c>
      <c r="W236" s="128">
        <f>$V$236*$K$236</f>
        <v>8.7</v>
      </c>
      <c r="X236" s="128">
        <v>0.00086</v>
      </c>
      <c r="Y236" s="128">
        <f>$X$236*$K$236</f>
        <v>0.00086</v>
      </c>
      <c r="Z236" s="128">
        <v>0</v>
      </c>
      <c r="AA236" s="129">
        <f>$Z$236*$K$236</f>
        <v>0</v>
      </c>
      <c r="AR236" s="6" t="s">
        <v>219</v>
      </c>
      <c r="AT236" s="6" t="s">
        <v>146</v>
      </c>
      <c r="AU236" s="6" t="s">
        <v>97</v>
      </c>
      <c r="AY236" s="6" t="s">
        <v>145</v>
      </c>
      <c r="BE236" s="81">
        <f>IF($U$236="základní",$N$236,0)</f>
        <v>0</v>
      </c>
      <c r="BF236" s="81">
        <f>IF($U$236="snížená",$N$236,0)</f>
        <v>0</v>
      </c>
      <c r="BG236" s="81">
        <f>IF($U$236="zákl. přenesená",$N$236,0)</f>
        <v>0</v>
      </c>
      <c r="BH236" s="81">
        <f>IF($U$236="sníž. přenesená",$N$236,0)</f>
        <v>0</v>
      </c>
      <c r="BI236" s="81">
        <f>IF($U$236="nulová",$N$236,0)</f>
        <v>0</v>
      </c>
      <c r="BJ236" s="6" t="s">
        <v>21</v>
      </c>
      <c r="BK236" s="81">
        <f>ROUND($L$236*$K$236,2)</f>
        <v>0</v>
      </c>
      <c r="BL236" s="6" t="s">
        <v>219</v>
      </c>
    </row>
    <row r="237" spans="2:64" s="6" customFormat="1" ht="27" customHeight="1">
      <c r="B237" s="22"/>
      <c r="C237" s="123" t="s">
        <v>370</v>
      </c>
      <c r="D237" s="123" t="s">
        <v>146</v>
      </c>
      <c r="E237" s="124" t="s">
        <v>371</v>
      </c>
      <c r="F237" s="205" t="s">
        <v>372</v>
      </c>
      <c r="G237" s="200"/>
      <c r="H237" s="200"/>
      <c r="I237" s="200"/>
      <c r="J237" s="125" t="s">
        <v>334</v>
      </c>
      <c r="K237" s="126">
        <v>2</v>
      </c>
      <c r="L237" s="199">
        <v>0</v>
      </c>
      <c r="M237" s="200"/>
      <c r="N237" s="201">
        <f>ROUND($L$237*$K$237,2)</f>
        <v>0</v>
      </c>
      <c r="O237" s="200"/>
      <c r="P237" s="200"/>
      <c r="Q237" s="200"/>
      <c r="R237" s="23"/>
      <c r="T237" s="127"/>
      <c r="U237" s="29" t="s">
        <v>47</v>
      </c>
      <c r="V237" s="128">
        <v>0.06</v>
      </c>
      <c r="W237" s="128">
        <f>$V$237*$K$237</f>
        <v>0.12</v>
      </c>
      <c r="X237" s="128">
        <v>0</v>
      </c>
      <c r="Y237" s="128">
        <f>$X$237*$K$237</f>
        <v>0</v>
      </c>
      <c r="Z237" s="128">
        <v>0.017</v>
      </c>
      <c r="AA237" s="129">
        <f>$Z$237*$K$237</f>
        <v>0.034</v>
      </c>
      <c r="AR237" s="6" t="s">
        <v>219</v>
      </c>
      <c r="AT237" s="6" t="s">
        <v>146</v>
      </c>
      <c r="AU237" s="6" t="s">
        <v>97</v>
      </c>
      <c r="AY237" s="6" t="s">
        <v>145</v>
      </c>
      <c r="BE237" s="81">
        <f>IF($U$237="základní",$N$237,0)</f>
        <v>0</v>
      </c>
      <c r="BF237" s="81">
        <f>IF($U$237="snížená",$N$237,0)</f>
        <v>0</v>
      </c>
      <c r="BG237" s="81">
        <f>IF($U$237="zákl. přenesená",$N$237,0)</f>
        <v>0</v>
      </c>
      <c r="BH237" s="81">
        <f>IF($U$237="sníž. přenesená",$N$237,0)</f>
        <v>0</v>
      </c>
      <c r="BI237" s="81">
        <f>IF($U$237="nulová",$N$237,0)</f>
        <v>0</v>
      </c>
      <c r="BJ237" s="6" t="s">
        <v>21</v>
      </c>
      <c r="BK237" s="81">
        <f>ROUND($L$237*$K$237,2)</f>
        <v>0</v>
      </c>
      <c r="BL237" s="6" t="s">
        <v>219</v>
      </c>
    </row>
    <row r="238" spans="2:64" s="6" customFormat="1" ht="27" customHeight="1">
      <c r="B238" s="22"/>
      <c r="C238" s="123" t="s">
        <v>373</v>
      </c>
      <c r="D238" s="123" t="s">
        <v>146</v>
      </c>
      <c r="E238" s="124" t="s">
        <v>374</v>
      </c>
      <c r="F238" s="205" t="s">
        <v>375</v>
      </c>
      <c r="G238" s="200"/>
      <c r="H238" s="200"/>
      <c r="I238" s="200"/>
      <c r="J238" s="125" t="s">
        <v>334</v>
      </c>
      <c r="K238" s="126">
        <v>1</v>
      </c>
      <c r="L238" s="199">
        <v>0</v>
      </c>
      <c r="M238" s="200"/>
      <c r="N238" s="201">
        <f>ROUND($L$238*$K$238,2)</f>
        <v>0</v>
      </c>
      <c r="O238" s="200"/>
      <c r="P238" s="200"/>
      <c r="Q238" s="200"/>
      <c r="R238" s="23"/>
      <c r="T238" s="127"/>
      <c r="U238" s="29" t="s">
        <v>47</v>
      </c>
      <c r="V238" s="128">
        <v>0.05</v>
      </c>
      <c r="W238" s="128">
        <f>$V$238*$K$238</f>
        <v>0.05</v>
      </c>
      <c r="X238" s="128">
        <v>0</v>
      </c>
      <c r="Y238" s="128">
        <f>$X$238*$K$238</f>
        <v>0</v>
      </c>
      <c r="Z238" s="128">
        <v>0.024</v>
      </c>
      <c r="AA238" s="129">
        <f>$Z$238*$K$238</f>
        <v>0.024</v>
      </c>
      <c r="AR238" s="6" t="s">
        <v>219</v>
      </c>
      <c r="AT238" s="6" t="s">
        <v>146</v>
      </c>
      <c r="AU238" s="6" t="s">
        <v>97</v>
      </c>
      <c r="AY238" s="6" t="s">
        <v>145</v>
      </c>
      <c r="BE238" s="81">
        <f>IF($U$238="základní",$N$238,0)</f>
        <v>0</v>
      </c>
      <c r="BF238" s="81">
        <f>IF($U$238="snížená",$N$238,0)</f>
        <v>0</v>
      </c>
      <c r="BG238" s="81">
        <f>IF($U$238="zákl. přenesená",$N$238,0)</f>
        <v>0</v>
      </c>
      <c r="BH238" s="81">
        <f>IF($U$238="sníž. přenesená",$N$238,0)</f>
        <v>0</v>
      </c>
      <c r="BI238" s="81">
        <f>IF($U$238="nulová",$N$238,0)</f>
        <v>0</v>
      </c>
      <c r="BJ238" s="6" t="s">
        <v>21</v>
      </c>
      <c r="BK238" s="81">
        <f>ROUND($L$238*$K$238,2)</f>
        <v>0</v>
      </c>
      <c r="BL238" s="6" t="s">
        <v>219</v>
      </c>
    </row>
    <row r="239" spans="2:64" s="6" customFormat="1" ht="27" customHeight="1">
      <c r="B239" s="22"/>
      <c r="C239" s="123" t="s">
        <v>376</v>
      </c>
      <c r="D239" s="123" t="s">
        <v>146</v>
      </c>
      <c r="E239" s="124" t="s">
        <v>377</v>
      </c>
      <c r="F239" s="205" t="s">
        <v>378</v>
      </c>
      <c r="G239" s="200"/>
      <c r="H239" s="200"/>
      <c r="I239" s="200"/>
      <c r="J239" s="125" t="s">
        <v>334</v>
      </c>
      <c r="K239" s="126">
        <v>5</v>
      </c>
      <c r="L239" s="199">
        <v>0</v>
      </c>
      <c r="M239" s="200"/>
      <c r="N239" s="201">
        <f>ROUND($L$239*$K$239,2)</f>
        <v>0</v>
      </c>
      <c r="O239" s="200"/>
      <c r="P239" s="200"/>
      <c r="Q239" s="200"/>
      <c r="R239" s="23"/>
      <c r="T239" s="127"/>
      <c r="U239" s="29" t="s">
        <v>47</v>
      </c>
      <c r="V239" s="128">
        <v>0.464</v>
      </c>
      <c r="W239" s="128">
        <f>$V$239*$K$239</f>
        <v>2.3200000000000003</v>
      </c>
      <c r="X239" s="128">
        <v>0</v>
      </c>
      <c r="Y239" s="128">
        <f>$X$239*$K$239</f>
        <v>0</v>
      </c>
      <c r="Z239" s="128">
        <v>0</v>
      </c>
      <c r="AA239" s="129">
        <f>$Z$239*$K$239</f>
        <v>0</v>
      </c>
      <c r="AR239" s="6" t="s">
        <v>219</v>
      </c>
      <c r="AT239" s="6" t="s">
        <v>146</v>
      </c>
      <c r="AU239" s="6" t="s">
        <v>97</v>
      </c>
      <c r="AY239" s="6" t="s">
        <v>145</v>
      </c>
      <c r="BE239" s="81">
        <f>IF($U$239="základní",$N$239,0)</f>
        <v>0</v>
      </c>
      <c r="BF239" s="81">
        <f>IF($U$239="snížená",$N$239,0)</f>
        <v>0</v>
      </c>
      <c r="BG239" s="81">
        <f>IF($U$239="zákl. přenesená",$N$239,0)</f>
        <v>0</v>
      </c>
      <c r="BH239" s="81">
        <f>IF($U$239="sníž. přenesená",$N$239,0)</f>
        <v>0</v>
      </c>
      <c r="BI239" s="81">
        <f>IF($U$239="nulová",$N$239,0)</f>
        <v>0</v>
      </c>
      <c r="BJ239" s="6" t="s">
        <v>21</v>
      </c>
      <c r="BK239" s="81">
        <f>ROUND($L$239*$K$239,2)</f>
        <v>0</v>
      </c>
      <c r="BL239" s="6" t="s">
        <v>219</v>
      </c>
    </row>
    <row r="240" spans="2:64" s="6" customFormat="1" ht="27" customHeight="1">
      <c r="B240" s="22"/>
      <c r="C240" s="142" t="s">
        <v>379</v>
      </c>
      <c r="D240" s="142" t="s">
        <v>176</v>
      </c>
      <c r="E240" s="143" t="s">
        <v>380</v>
      </c>
      <c r="F240" s="206" t="s">
        <v>381</v>
      </c>
      <c r="G240" s="207"/>
      <c r="H240" s="207"/>
      <c r="I240" s="207"/>
      <c r="J240" s="144" t="s">
        <v>156</v>
      </c>
      <c r="K240" s="145">
        <v>6.71</v>
      </c>
      <c r="L240" s="208">
        <v>0</v>
      </c>
      <c r="M240" s="207"/>
      <c r="N240" s="209">
        <f>ROUND($L$240*$K$240,2)</f>
        <v>0</v>
      </c>
      <c r="O240" s="200"/>
      <c r="P240" s="200"/>
      <c r="Q240" s="200"/>
      <c r="R240" s="23"/>
      <c r="T240" s="127"/>
      <c r="U240" s="29" t="s">
        <v>47</v>
      </c>
      <c r="V240" s="128">
        <v>0</v>
      </c>
      <c r="W240" s="128">
        <f>$V$240*$K$240</f>
        <v>0</v>
      </c>
      <c r="X240" s="128">
        <v>0.003</v>
      </c>
      <c r="Y240" s="128">
        <f>$X$240*$K$240</f>
        <v>0.02013</v>
      </c>
      <c r="Z240" s="128">
        <v>0</v>
      </c>
      <c r="AA240" s="129">
        <f>$Z$240*$K$240</f>
        <v>0</v>
      </c>
      <c r="AR240" s="6" t="s">
        <v>279</v>
      </c>
      <c r="AT240" s="6" t="s">
        <v>176</v>
      </c>
      <c r="AU240" s="6" t="s">
        <v>97</v>
      </c>
      <c r="AY240" s="6" t="s">
        <v>145</v>
      </c>
      <c r="BE240" s="81">
        <f>IF($U$240="základní",$N$240,0)</f>
        <v>0</v>
      </c>
      <c r="BF240" s="81">
        <f>IF($U$240="snížená",$N$240,0)</f>
        <v>0</v>
      </c>
      <c r="BG240" s="81">
        <f>IF($U$240="zákl. přenesená",$N$240,0)</f>
        <v>0</v>
      </c>
      <c r="BH240" s="81">
        <f>IF($U$240="sníž. přenesená",$N$240,0)</f>
        <v>0</v>
      </c>
      <c r="BI240" s="81">
        <f>IF($U$240="nulová",$N$240,0)</f>
        <v>0</v>
      </c>
      <c r="BJ240" s="6" t="s">
        <v>21</v>
      </c>
      <c r="BK240" s="81">
        <f>ROUND($L$240*$K$240,2)</f>
        <v>0</v>
      </c>
      <c r="BL240" s="6" t="s">
        <v>219</v>
      </c>
    </row>
    <row r="241" spans="2:51" s="6" customFormat="1" ht="15.75" customHeight="1">
      <c r="B241" s="130"/>
      <c r="E241" s="131"/>
      <c r="F241" s="203" t="s">
        <v>382</v>
      </c>
      <c r="G241" s="204"/>
      <c r="H241" s="204"/>
      <c r="I241" s="204"/>
      <c r="K241" s="132">
        <v>6.71</v>
      </c>
      <c r="R241" s="133"/>
      <c r="T241" s="134"/>
      <c r="AA241" s="135"/>
      <c r="AT241" s="131" t="s">
        <v>152</v>
      </c>
      <c r="AU241" s="131" t="s">
        <v>97</v>
      </c>
      <c r="AV241" s="131" t="s">
        <v>97</v>
      </c>
      <c r="AW241" s="131" t="s">
        <v>104</v>
      </c>
      <c r="AX241" s="131" t="s">
        <v>21</v>
      </c>
      <c r="AY241" s="131" t="s">
        <v>145</v>
      </c>
    </row>
    <row r="242" spans="2:64" s="6" customFormat="1" ht="15.75" customHeight="1">
      <c r="B242" s="22"/>
      <c r="C242" s="142" t="s">
        <v>383</v>
      </c>
      <c r="D242" s="142" t="s">
        <v>176</v>
      </c>
      <c r="E242" s="143" t="s">
        <v>384</v>
      </c>
      <c r="F242" s="206" t="s">
        <v>385</v>
      </c>
      <c r="G242" s="207"/>
      <c r="H242" s="207"/>
      <c r="I242" s="207"/>
      <c r="J242" s="144" t="s">
        <v>334</v>
      </c>
      <c r="K242" s="145">
        <v>5</v>
      </c>
      <c r="L242" s="208">
        <v>0</v>
      </c>
      <c r="M242" s="207"/>
      <c r="N242" s="209">
        <f>ROUND($L$242*$K$242,2)</f>
        <v>0</v>
      </c>
      <c r="O242" s="200"/>
      <c r="P242" s="200"/>
      <c r="Q242" s="200"/>
      <c r="R242" s="23"/>
      <c r="T242" s="127"/>
      <c r="U242" s="29" t="s">
        <v>47</v>
      </c>
      <c r="V242" s="128">
        <v>0</v>
      </c>
      <c r="W242" s="128">
        <f>$V$242*$K$242</f>
        <v>0</v>
      </c>
      <c r="X242" s="128">
        <v>6E-05</v>
      </c>
      <c r="Y242" s="128">
        <f>$X$242*$K$242</f>
        <v>0.00030000000000000003</v>
      </c>
      <c r="Z242" s="128">
        <v>0</v>
      </c>
      <c r="AA242" s="129">
        <f>$Z$242*$K$242</f>
        <v>0</v>
      </c>
      <c r="AR242" s="6" t="s">
        <v>279</v>
      </c>
      <c r="AT242" s="6" t="s">
        <v>176</v>
      </c>
      <c r="AU242" s="6" t="s">
        <v>97</v>
      </c>
      <c r="AY242" s="6" t="s">
        <v>145</v>
      </c>
      <c r="BE242" s="81">
        <f>IF($U$242="základní",$N$242,0)</f>
        <v>0</v>
      </c>
      <c r="BF242" s="81">
        <f>IF($U$242="snížená",$N$242,0)</f>
        <v>0</v>
      </c>
      <c r="BG242" s="81">
        <f>IF($U$242="zákl. přenesená",$N$242,0)</f>
        <v>0</v>
      </c>
      <c r="BH242" s="81">
        <f>IF($U$242="sníž. přenesená",$N$242,0)</f>
        <v>0</v>
      </c>
      <c r="BI242" s="81">
        <f>IF($U$242="nulová",$N$242,0)</f>
        <v>0</v>
      </c>
      <c r="BJ242" s="6" t="s">
        <v>21</v>
      </c>
      <c r="BK242" s="81">
        <f>ROUND($L$242*$K$242,2)</f>
        <v>0</v>
      </c>
      <c r="BL242" s="6" t="s">
        <v>219</v>
      </c>
    </row>
    <row r="243" spans="2:64" s="6" customFormat="1" ht="27" customHeight="1">
      <c r="B243" s="22"/>
      <c r="C243" s="123" t="s">
        <v>386</v>
      </c>
      <c r="D243" s="123" t="s">
        <v>146</v>
      </c>
      <c r="E243" s="124" t="s">
        <v>387</v>
      </c>
      <c r="F243" s="205" t="s">
        <v>388</v>
      </c>
      <c r="G243" s="200"/>
      <c r="H243" s="200"/>
      <c r="I243" s="200"/>
      <c r="J243" s="125" t="s">
        <v>290</v>
      </c>
      <c r="K243" s="146">
        <v>0</v>
      </c>
      <c r="L243" s="199">
        <v>0</v>
      </c>
      <c r="M243" s="200"/>
      <c r="N243" s="201">
        <f>ROUND($L$243*$K$243,2)</f>
        <v>0</v>
      </c>
      <c r="O243" s="200"/>
      <c r="P243" s="200"/>
      <c r="Q243" s="200"/>
      <c r="R243" s="23"/>
      <c r="T243" s="127"/>
      <c r="U243" s="29" t="s">
        <v>47</v>
      </c>
      <c r="V243" s="128">
        <v>0</v>
      </c>
      <c r="W243" s="128">
        <f>$V$243*$K$243</f>
        <v>0</v>
      </c>
      <c r="X243" s="128">
        <v>0</v>
      </c>
      <c r="Y243" s="128">
        <f>$X$243*$K$243</f>
        <v>0</v>
      </c>
      <c r="Z243" s="128">
        <v>0</v>
      </c>
      <c r="AA243" s="129">
        <f>$Z$243*$K$243</f>
        <v>0</v>
      </c>
      <c r="AR243" s="6" t="s">
        <v>219</v>
      </c>
      <c r="AT243" s="6" t="s">
        <v>146</v>
      </c>
      <c r="AU243" s="6" t="s">
        <v>97</v>
      </c>
      <c r="AY243" s="6" t="s">
        <v>145</v>
      </c>
      <c r="BE243" s="81">
        <f>IF($U$243="základní",$N$243,0)</f>
        <v>0</v>
      </c>
      <c r="BF243" s="81">
        <f>IF($U$243="snížená",$N$243,0)</f>
        <v>0</v>
      </c>
      <c r="BG243" s="81">
        <f>IF($U$243="zákl. přenesená",$N$243,0)</f>
        <v>0</v>
      </c>
      <c r="BH243" s="81">
        <f>IF($U$243="sníž. přenesená",$N$243,0)</f>
        <v>0</v>
      </c>
      <c r="BI243" s="81">
        <f>IF($U$243="nulová",$N$243,0)</f>
        <v>0</v>
      </c>
      <c r="BJ243" s="6" t="s">
        <v>21</v>
      </c>
      <c r="BK243" s="81">
        <f>ROUND($L$243*$K$243,2)</f>
        <v>0</v>
      </c>
      <c r="BL243" s="6" t="s">
        <v>219</v>
      </c>
    </row>
    <row r="244" spans="2:63" s="113" customFormat="1" ht="30.75" customHeight="1">
      <c r="B244" s="114"/>
      <c r="D244" s="122" t="s">
        <v>115</v>
      </c>
      <c r="N244" s="195">
        <f>$BK$244</f>
        <v>0</v>
      </c>
      <c r="O244" s="196"/>
      <c r="P244" s="196"/>
      <c r="Q244" s="196"/>
      <c r="R244" s="117"/>
      <c r="T244" s="118"/>
      <c r="W244" s="119">
        <f>SUM($W$245:$W$251)</f>
        <v>186.23865</v>
      </c>
      <c r="Y244" s="119">
        <f>SUM($Y$245:$Y$251)</f>
        <v>0.022788000000000003</v>
      </c>
      <c r="AA244" s="120">
        <f>SUM($AA$245:$AA$251)</f>
        <v>0.3112</v>
      </c>
      <c r="AR244" s="116" t="s">
        <v>97</v>
      </c>
      <c r="AT244" s="116" t="s">
        <v>81</v>
      </c>
      <c r="AU244" s="116" t="s">
        <v>21</v>
      </c>
      <c r="AY244" s="116" t="s">
        <v>145</v>
      </c>
      <c r="BK244" s="121">
        <f>SUM($BK$245:$BK$251)</f>
        <v>0</v>
      </c>
    </row>
    <row r="245" spans="2:64" s="6" customFormat="1" ht="27" customHeight="1">
      <c r="B245" s="22"/>
      <c r="C245" s="123" t="s">
        <v>389</v>
      </c>
      <c r="D245" s="123" t="s">
        <v>146</v>
      </c>
      <c r="E245" s="124" t="s">
        <v>390</v>
      </c>
      <c r="F245" s="205" t="s">
        <v>391</v>
      </c>
      <c r="G245" s="200"/>
      <c r="H245" s="200"/>
      <c r="I245" s="200"/>
      <c r="J245" s="125" t="s">
        <v>156</v>
      </c>
      <c r="K245" s="126">
        <v>19.45</v>
      </c>
      <c r="L245" s="199">
        <v>0</v>
      </c>
      <c r="M245" s="200"/>
      <c r="N245" s="201">
        <f>ROUND($L$245*$K$245,2)</f>
        <v>0</v>
      </c>
      <c r="O245" s="200"/>
      <c r="P245" s="200"/>
      <c r="Q245" s="200"/>
      <c r="R245" s="23"/>
      <c r="T245" s="127"/>
      <c r="U245" s="29" t="s">
        <v>47</v>
      </c>
      <c r="V245" s="128">
        <v>0.513</v>
      </c>
      <c r="W245" s="128">
        <f>$V$245*$K$245</f>
        <v>9.97785</v>
      </c>
      <c r="X245" s="128">
        <v>0</v>
      </c>
      <c r="Y245" s="128">
        <f>$X$245*$K$245</f>
        <v>0</v>
      </c>
      <c r="Z245" s="128">
        <v>0.016</v>
      </c>
      <c r="AA245" s="129">
        <f>$Z$245*$K$245</f>
        <v>0.3112</v>
      </c>
      <c r="AR245" s="6" t="s">
        <v>219</v>
      </c>
      <c r="AT245" s="6" t="s">
        <v>146</v>
      </c>
      <c r="AU245" s="6" t="s">
        <v>97</v>
      </c>
      <c r="AY245" s="6" t="s">
        <v>145</v>
      </c>
      <c r="BE245" s="81">
        <f>IF($U$245="základní",$N$245,0)</f>
        <v>0</v>
      </c>
      <c r="BF245" s="81">
        <f>IF($U$245="snížená",$N$245,0)</f>
        <v>0</v>
      </c>
      <c r="BG245" s="81">
        <f>IF($U$245="zákl. přenesená",$N$245,0)</f>
        <v>0</v>
      </c>
      <c r="BH245" s="81">
        <f>IF($U$245="sníž. přenesená",$N$245,0)</f>
        <v>0</v>
      </c>
      <c r="BI245" s="81">
        <f>IF($U$245="nulová",$N$245,0)</f>
        <v>0</v>
      </c>
      <c r="BJ245" s="6" t="s">
        <v>21</v>
      </c>
      <c r="BK245" s="81">
        <f>ROUND($L$245*$K$245,2)</f>
        <v>0</v>
      </c>
      <c r="BL245" s="6" t="s">
        <v>219</v>
      </c>
    </row>
    <row r="246" spans="2:51" s="6" customFormat="1" ht="15.75" customHeight="1">
      <c r="B246" s="130"/>
      <c r="E246" s="131"/>
      <c r="F246" s="203" t="s">
        <v>392</v>
      </c>
      <c r="G246" s="204"/>
      <c r="H246" s="204"/>
      <c r="I246" s="204"/>
      <c r="K246" s="132">
        <v>19.45</v>
      </c>
      <c r="R246" s="133"/>
      <c r="T246" s="134"/>
      <c r="AA246" s="135"/>
      <c r="AT246" s="131" t="s">
        <v>152</v>
      </c>
      <c r="AU246" s="131" t="s">
        <v>97</v>
      </c>
      <c r="AV246" s="131" t="s">
        <v>97</v>
      </c>
      <c r="AW246" s="131" t="s">
        <v>104</v>
      </c>
      <c r="AX246" s="131" t="s">
        <v>21</v>
      </c>
      <c r="AY246" s="131" t="s">
        <v>145</v>
      </c>
    </row>
    <row r="247" spans="2:64" s="6" customFormat="1" ht="27" customHeight="1">
      <c r="B247" s="22"/>
      <c r="C247" s="123" t="s">
        <v>393</v>
      </c>
      <c r="D247" s="123" t="s">
        <v>146</v>
      </c>
      <c r="E247" s="124" t="s">
        <v>394</v>
      </c>
      <c r="F247" s="205" t="s">
        <v>395</v>
      </c>
      <c r="G247" s="200"/>
      <c r="H247" s="200"/>
      <c r="I247" s="200"/>
      <c r="J247" s="125" t="s">
        <v>396</v>
      </c>
      <c r="K247" s="126">
        <v>379.8</v>
      </c>
      <c r="L247" s="199">
        <v>0</v>
      </c>
      <c r="M247" s="200"/>
      <c r="N247" s="201">
        <f>ROUND($L$247*$K$247,2)</f>
        <v>0</v>
      </c>
      <c r="O247" s="200"/>
      <c r="P247" s="200"/>
      <c r="Q247" s="200"/>
      <c r="R247" s="23"/>
      <c r="T247" s="127"/>
      <c r="U247" s="29" t="s">
        <v>47</v>
      </c>
      <c r="V247" s="128">
        <v>0.456</v>
      </c>
      <c r="W247" s="128">
        <f>$V$247*$K$247</f>
        <v>173.18880000000001</v>
      </c>
      <c r="X247" s="128">
        <v>6E-05</v>
      </c>
      <c r="Y247" s="128">
        <f>$X$247*$K$247</f>
        <v>0.022788000000000003</v>
      </c>
      <c r="Z247" s="128">
        <v>0</v>
      </c>
      <c r="AA247" s="129">
        <f>$Z$247*$K$247</f>
        <v>0</v>
      </c>
      <c r="AR247" s="6" t="s">
        <v>219</v>
      </c>
      <c r="AT247" s="6" t="s">
        <v>146</v>
      </c>
      <c r="AU247" s="6" t="s">
        <v>97</v>
      </c>
      <c r="AY247" s="6" t="s">
        <v>145</v>
      </c>
      <c r="BE247" s="81">
        <f>IF($U$247="základní",$N$247,0)</f>
        <v>0</v>
      </c>
      <c r="BF247" s="81">
        <f>IF($U$247="snížená",$N$247,0)</f>
        <v>0</v>
      </c>
      <c r="BG247" s="81">
        <f>IF($U$247="zákl. přenesená",$N$247,0)</f>
        <v>0</v>
      </c>
      <c r="BH247" s="81">
        <f>IF($U$247="sníž. přenesená",$N$247,0)</f>
        <v>0</v>
      </c>
      <c r="BI247" s="81">
        <f>IF($U$247="nulová",$N$247,0)</f>
        <v>0</v>
      </c>
      <c r="BJ247" s="6" t="s">
        <v>21</v>
      </c>
      <c r="BK247" s="81">
        <f>ROUND($L$247*$K$247,2)</f>
        <v>0</v>
      </c>
      <c r="BL247" s="6" t="s">
        <v>219</v>
      </c>
    </row>
    <row r="248" spans="2:64" s="6" customFormat="1" ht="27" customHeight="1">
      <c r="B248" s="22"/>
      <c r="C248" s="123" t="s">
        <v>397</v>
      </c>
      <c r="D248" s="123" t="s">
        <v>146</v>
      </c>
      <c r="E248" s="124" t="s">
        <v>398</v>
      </c>
      <c r="F248" s="205" t="s">
        <v>399</v>
      </c>
      <c r="G248" s="200"/>
      <c r="H248" s="200"/>
      <c r="I248" s="200"/>
      <c r="J248" s="125" t="s">
        <v>334</v>
      </c>
      <c r="K248" s="126">
        <v>4</v>
      </c>
      <c r="L248" s="199">
        <v>0</v>
      </c>
      <c r="M248" s="200"/>
      <c r="N248" s="201">
        <f>ROUND($L$248*$K$248,2)</f>
        <v>0</v>
      </c>
      <c r="O248" s="200"/>
      <c r="P248" s="200"/>
      <c r="Q248" s="200"/>
      <c r="R248" s="23"/>
      <c r="T248" s="127"/>
      <c r="U248" s="29" t="s">
        <v>47</v>
      </c>
      <c r="V248" s="128">
        <v>0.049</v>
      </c>
      <c r="W248" s="128">
        <f>$V$248*$K$248</f>
        <v>0.196</v>
      </c>
      <c r="X248" s="128">
        <v>0</v>
      </c>
      <c r="Y248" s="128">
        <f>$X$248*$K$248</f>
        <v>0</v>
      </c>
      <c r="Z248" s="128">
        <v>0</v>
      </c>
      <c r="AA248" s="129">
        <f>$Z$248*$K$248</f>
        <v>0</v>
      </c>
      <c r="AR248" s="6" t="s">
        <v>219</v>
      </c>
      <c r="AT248" s="6" t="s">
        <v>146</v>
      </c>
      <c r="AU248" s="6" t="s">
        <v>97</v>
      </c>
      <c r="AY248" s="6" t="s">
        <v>145</v>
      </c>
      <c r="BE248" s="81">
        <f>IF($U$248="základní",$N$248,0)</f>
        <v>0</v>
      </c>
      <c r="BF248" s="81">
        <f>IF($U$248="snížená",$N$248,0)</f>
        <v>0</v>
      </c>
      <c r="BG248" s="81">
        <f>IF($U$248="zákl. přenesená",$N$248,0)</f>
        <v>0</v>
      </c>
      <c r="BH248" s="81">
        <f>IF($U$248="sníž. přenesená",$N$248,0)</f>
        <v>0</v>
      </c>
      <c r="BI248" s="81">
        <f>IF($U$248="nulová",$N$248,0)</f>
        <v>0</v>
      </c>
      <c r="BJ248" s="6" t="s">
        <v>21</v>
      </c>
      <c r="BK248" s="81">
        <f>ROUND($L$248*$K$248,2)</f>
        <v>0</v>
      </c>
      <c r="BL248" s="6" t="s">
        <v>219</v>
      </c>
    </row>
    <row r="249" spans="2:64" s="6" customFormat="1" ht="27" customHeight="1">
      <c r="B249" s="22"/>
      <c r="C249" s="123" t="s">
        <v>400</v>
      </c>
      <c r="D249" s="123" t="s">
        <v>146</v>
      </c>
      <c r="E249" s="124" t="s">
        <v>401</v>
      </c>
      <c r="F249" s="205" t="s">
        <v>402</v>
      </c>
      <c r="G249" s="200"/>
      <c r="H249" s="200"/>
      <c r="I249" s="200"/>
      <c r="J249" s="125" t="s">
        <v>334</v>
      </c>
      <c r="K249" s="126">
        <v>14</v>
      </c>
      <c r="L249" s="199">
        <v>0</v>
      </c>
      <c r="M249" s="200"/>
      <c r="N249" s="201">
        <f>ROUND($L$249*$K$249,2)</f>
        <v>0</v>
      </c>
      <c r="O249" s="200"/>
      <c r="P249" s="200"/>
      <c r="Q249" s="200"/>
      <c r="R249" s="23"/>
      <c r="T249" s="127"/>
      <c r="U249" s="29" t="s">
        <v>47</v>
      </c>
      <c r="V249" s="128">
        <v>0.074</v>
      </c>
      <c r="W249" s="128">
        <f>$V$249*$K$249</f>
        <v>1.036</v>
      </c>
      <c r="X249" s="128">
        <v>0</v>
      </c>
      <c r="Y249" s="128">
        <f>$X$249*$K$249</f>
        <v>0</v>
      </c>
      <c r="Z249" s="128">
        <v>0</v>
      </c>
      <c r="AA249" s="129">
        <f>$Z$249*$K$249</f>
        <v>0</v>
      </c>
      <c r="AR249" s="6" t="s">
        <v>219</v>
      </c>
      <c r="AT249" s="6" t="s">
        <v>146</v>
      </c>
      <c r="AU249" s="6" t="s">
        <v>97</v>
      </c>
      <c r="AY249" s="6" t="s">
        <v>145</v>
      </c>
      <c r="BE249" s="81">
        <f>IF($U$249="základní",$N$249,0)</f>
        <v>0</v>
      </c>
      <c r="BF249" s="81">
        <f>IF($U$249="snížená",$N$249,0)</f>
        <v>0</v>
      </c>
      <c r="BG249" s="81">
        <f>IF($U$249="zákl. přenesená",$N$249,0)</f>
        <v>0</v>
      </c>
      <c r="BH249" s="81">
        <f>IF($U$249="sníž. přenesená",$N$249,0)</f>
        <v>0</v>
      </c>
      <c r="BI249" s="81">
        <f>IF($U$249="nulová",$N$249,0)</f>
        <v>0</v>
      </c>
      <c r="BJ249" s="6" t="s">
        <v>21</v>
      </c>
      <c r="BK249" s="81">
        <f>ROUND($L$249*$K$249,2)</f>
        <v>0</v>
      </c>
      <c r="BL249" s="6" t="s">
        <v>219</v>
      </c>
    </row>
    <row r="250" spans="2:64" s="6" customFormat="1" ht="27" customHeight="1">
      <c r="B250" s="22"/>
      <c r="C250" s="123" t="s">
        <v>403</v>
      </c>
      <c r="D250" s="123" t="s">
        <v>146</v>
      </c>
      <c r="E250" s="124" t="s">
        <v>404</v>
      </c>
      <c r="F250" s="205" t="s">
        <v>405</v>
      </c>
      <c r="G250" s="200"/>
      <c r="H250" s="200"/>
      <c r="I250" s="200"/>
      <c r="J250" s="125" t="s">
        <v>334</v>
      </c>
      <c r="K250" s="126">
        <v>16</v>
      </c>
      <c r="L250" s="199">
        <v>0</v>
      </c>
      <c r="M250" s="200"/>
      <c r="N250" s="201">
        <f>ROUND($L$250*$K$250,2)</f>
        <v>0</v>
      </c>
      <c r="O250" s="200"/>
      <c r="P250" s="200"/>
      <c r="Q250" s="200"/>
      <c r="R250" s="23"/>
      <c r="T250" s="127"/>
      <c r="U250" s="29" t="s">
        <v>47</v>
      </c>
      <c r="V250" s="128">
        <v>0.115</v>
      </c>
      <c r="W250" s="128">
        <f>$V$250*$K$250</f>
        <v>1.84</v>
      </c>
      <c r="X250" s="128">
        <v>0</v>
      </c>
      <c r="Y250" s="128">
        <f>$X$250*$K$250</f>
        <v>0</v>
      </c>
      <c r="Z250" s="128">
        <v>0</v>
      </c>
      <c r="AA250" s="129">
        <f>$Z$250*$K$250</f>
        <v>0</v>
      </c>
      <c r="AR250" s="6" t="s">
        <v>219</v>
      </c>
      <c r="AT250" s="6" t="s">
        <v>146</v>
      </c>
      <c r="AU250" s="6" t="s">
        <v>97</v>
      </c>
      <c r="AY250" s="6" t="s">
        <v>145</v>
      </c>
      <c r="BE250" s="81">
        <f>IF($U$250="základní",$N$250,0)</f>
        <v>0</v>
      </c>
      <c r="BF250" s="81">
        <f>IF($U$250="snížená",$N$250,0)</f>
        <v>0</v>
      </c>
      <c r="BG250" s="81">
        <f>IF($U$250="zákl. přenesená",$N$250,0)</f>
        <v>0</v>
      </c>
      <c r="BH250" s="81">
        <f>IF($U$250="sníž. přenesená",$N$250,0)</f>
        <v>0</v>
      </c>
      <c r="BI250" s="81">
        <f>IF($U$250="nulová",$N$250,0)</f>
        <v>0</v>
      </c>
      <c r="BJ250" s="6" t="s">
        <v>21</v>
      </c>
      <c r="BK250" s="81">
        <f>ROUND($L$250*$K$250,2)</f>
        <v>0</v>
      </c>
      <c r="BL250" s="6" t="s">
        <v>219</v>
      </c>
    </row>
    <row r="251" spans="2:64" s="6" customFormat="1" ht="27" customHeight="1">
      <c r="B251" s="22"/>
      <c r="C251" s="123" t="s">
        <v>406</v>
      </c>
      <c r="D251" s="123" t="s">
        <v>146</v>
      </c>
      <c r="E251" s="124" t="s">
        <v>407</v>
      </c>
      <c r="F251" s="205" t="s">
        <v>408</v>
      </c>
      <c r="G251" s="200"/>
      <c r="H251" s="200"/>
      <c r="I251" s="200"/>
      <c r="J251" s="125" t="s">
        <v>290</v>
      </c>
      <c r="K251" s="146">
        <v>0</v>
      </c>
      <c r="L251" s="199">
        <v>0</v>
      </c>
      <c r="M251" s="200"/>
      <c r="N251" s="201">
        <f>ROUND($L$251*$K$251,2)</f>
        <v>0</v>
      </c>
      <c r="O251" s="200"/>
      <c r="P251" s="200"/>
      <c r="Q251" s="200"/>
      <c r="R251" s="23"/>
      <c r="T251" s="127"/>
      <c r="U251" s="29" t="s">
        <v>47</v>
      </c>
      <c r="V251" s="128">
        <v>0</v>
      </c>
      <c r="W251" s="128">
        <f>$V$251*$K$251</f>
        <v>0</v>
      </c>
      <c r="X251" s="128">
        <v>0</v>
      </c>
      <c r="Y251" s="128">
        <f>$X$251*$K$251</f>
        <v>0</v>
      </c>
      <c r="Z251" s="128">
        <v>0</v>
      </c>
      <c r="AA251" s="129">
        <f>$Z$251*$K$251</f>
        <v>0</v>
      </c>
      <c r="AR251" s="6" t="s">
        <v>219</v>
      </c>
      <c r="AT251" s="6" t="s">
        <v>146</v>
      </c>
      <c r="AU251" s="6" t="s">
        <v>97</v>
      </c>
      <c r="AY251" s="6" t="s">
        <v>145</v>
      </c>
      <c r="BE251" s="81">
        <f>IF($U$251="základní",$N$251,0)</f>
        <v>0</v>
      </c>
      <c r="BF251" s="81">
        <f>IF($U$251="snížená",$N$251,0)</f>
        <v>0</v>
      </c>
      <c r="BG251" s="81">
        <f>IF($U$251="zákl. přenesená",$N$251,0)</f>
        <v>0</v>
      </c>
      <c r="BH251" s="81">
        <f>IF($U$251="sníž. přenesená",$N$251,0)</f>
        <v>0</v>
      </c>
      <c r="BI251" s="81">
        <f>IF($U$251="nulová",$N$251,0)</f>
        <v>0</v>
      </c>
      <c r="BJ251" s="6" t="s">
        <v>21</v>
      </c>
      <c r="BK251" s="81">
        <f>ROUND($L$251*$K$251,2)</f>
        <v>0</v>
      </c>
      <c r="BL251" s="6" t="s">
        <v>219</v>
      </c>
    </row>
    <row r="252" spans="2:63" s="113" customFormat="1" ht="30.75" customHeight="1">
      <c r="B252" s="114"/>
      <c r="D252" s="122" t="s">
        <v>116</v>
      </c>
      <c r="N252" s="195">
        <f>$BK$252</f>
        <v>0</v>
      </c>
      <c r="O252" s="196"/>
      <c r="P252" s="196"/>
      <c r="Q252" s="196"/>
      <c r="R252" s="117"/>
      <c r="T252" s="118"/>
      <c r="W252" s="119">
        <f>SUM($W$253:$W$254)</f>
        <v>0.7480000000000001</v>
      </c>
      <c r="Y252" s="119">
        <f>SUM($Y$253:$Y$254)</f>
        <v>0.0025080000000000002</v>
      </c>
      <c r="AA252" s="120">
        <f>SUM($AA$253:$AA$254)</f>
        <v>0</v>
      </c>
      <c r="AR252" s="116" t="s">
        <v>97</v>
      </c>
      <c r="AT252" s="116" t="s">
        <v>81</v>
      </c>
      <c r="AU252" s="116" t="s">
        <v>21</v>
      </c>
      <c r="AY252" s="116" t="s">
        <v>145</v>
      </c>
      <c r="BK252" s="121">
        <f>SUM($BK$253:$BK$254)</f>
        <v>0</v>
      </c>
    </row>
    <row r="253" spans="2:64" s="6" customFormat="1" ht="39" customHeight="1">
      <c r="B253" s="22"/>
      <c r="C253" s="123" t="s">
        <v>409</v>
      </c>
      <c r="D253" s="123" t="s">
        <v>146</v>
      </c>
      <c r="E253" s="124" t="s">
        <v>410</v>
      </c>
      <c r="F253" s="205" t="s">
        <v>411</v>
      </c>
      <c r="G253" s="200"/>
      <c r="H253" s="200"/>
      <c r="I253" s="200"/>
      <c r="J253" s="125" t="s">
        <v>161</v>
      </c>
      <c r="K253" s="126">
        <v>4.4</v>
      </c>
      <c r="L253" s="199">
        <v>0</v>
      </c>
      <c r="M253" s="200"/>
      <c r="N253" s="201">
        <f>ROUND($L$253*$K$253,2)</f>
        <v>0</v>
      </c>
      <c r="O253" s="200"/>
      <c r="P253" s="200"/>
      <c r="Q253" s="200"/>
      <c r="R253" s="23"/>
      <c r="T253" s="127"/>
      <c r="U253" s="29" t="s">
        <v>47</v>
      </c>
      <c r="V253" s="128">
        <v>0.17</v>
      </c>
      <c r="W253" s="128">
        <f>$V$253*$K$253</f>
        <v>0.7480000000000001</v>
      </c>
      <c r="X253" s="128">
        <v>0.00057</v>
      </c>
      <c r="Y253" s="128">
        <f>$X$253*$K$253</f>
        <v>0.0025080000000000002</v>
      </c>
      <c r="Z253" s="128">
        <v>0</v>
      </c>
      <c r="AA253" s="129">
        <f>$Z$253*$K$253</f>
        <v>0</v>
      </c>
      <c r="AR253" s="6" t="s">
        <v>219</v>
      </c>
      <c r="AT253" s="6" t="s">
        <v>146</v>
      </c>
      <c r="AU253" s="6" t="s">
        <v>97</v>
      </c>
      <c r="AY253" s="6" t="s">
        <v>145</v>
      </c>
      <c r="BE253" s="81">
        <f>IF($U$253="základní",$N$253,0)</f>
        <v>0</v>
      </c>
      <c r="BF253" s="81">
        <f>IF($U$253="snížená",$N$253,0)</f>
        <v>0</v>
      </c>
      <c r="BG253" s="81">
        <f>IF($U$253="zákl. přenesená",$N$253,0)</f>
        <v>0</v>
      </c>
      <c r="BH253" s="81">
        <f>IF($U$253="sníž. přenesená",$N$253,0)</f>
        <v>0</v>
      </c>
      <c r="BI253" s="81">
        <f>IF($U$253="nulová",$N$253,0)</f>
        <v>0</v>
      </c>
      <c r="BJ253" s="6" t="s">
        <v>21</v>
      </c>
      <c r="BK253" s="81">
        <f>ROUND($L$253*$K$253,2)</f>
        <v>0</v>
      </c>
      <c r="BL253" s="6" t="s">
        <v>219</v>
      </c>
    </row>
    <row r="254" spans="2:51" s="6" customFormat="1" ht="15.75" customHeight="1">
      <c r="B254" s="130"/>
      <c r="E254" s="131"/>
      <c r="F254" s="203" t="s">
        <v>412</v>
      </c>
      <c r="G254" s="204"/>
      <c r="H254" s="204"/>
      <c r="I254" s="204"/>
      <c r="K254" s="132">
        <v>4.4</v>
      </c>
      <c r="R254" s="133"/>
      <c r="T254" s="134"/>
      <c r="AA254" s="135"/>
      <c r="AT254" s="131" t="s">
        <v>152</v>
      </c>
      <c r="AU254" s="131" t="s">
        <v>97</v>
      </c>
      <c r="AV254" s="131" t="s">
        <v>97</v>
      </c>
      <c r="AW254" s="131" t="s">
        <v>104</v>
      </c>
      <c r="AX254" s="131" t="s">
        <v>21</v>
      </c>
      <c r="AY254" s="131" t="s">
        <v>145</v>
      </c>
    </row>
    <row r="255" spans="2:63" s="113" customFormat="1" ht="30.75" customHeight="1">
      <c r="B255" s="114"/>
      <c r="D255" s="122" t="s">
        <v>117</v>
      </c>
      <c r="N255" s="195">
        <f>$BK$255</f>
        <v>0</v>
      </c>
      <c r="O255" s="196"/>
      <c r="P255" s="196"/>
      <c r="Q255" s="196"/>
      <c r="R255" s="117"/>
      <c r="T255" s="118"/>
      <c r="W255" s="119">
        <f>SUM($W$256:$W$257)</f>
        <v>6.2169</v>
      </c>
      <c r="Y255" s="119">
        <f>SUM($Y$256:$Y$257)</f>
        <v>0.015248999999999999</v>
      </c>
      <c r="AA255" s="120">
        <f>SUM($AA$256:$AA$257)</f>
        <v>0</v>
      </c>
      <c r="AR255" s="116" t="s">
        <v>97</v>
      </c>
      <c r="AT255" s="116" t="s">
        <v>81</v>
      </c>
      <c r="AU255" s="116" t="s">
        <v>21</v>
      </c>
      <c r="AY255" s="116" t="s">
        <v>145</v>
      </c>
      <c r="BK255" s="121">
        <f>SUM($BK$256:$BK$257)</f>
        <v>0</v>
      </c>
    </row>
    <row r="256" spans="2:64" s="6" customFormat="1" ht="39" customHeight="1">
      <c r="B256" s="22"/>
      <c r="C256" s="123" t="s">
        <v>413</v>
      </c>
      <c r="D256" s="123" t="s">
        <v>146</v>
      </c>
      <c r="E256" s="124" t="s">
        <v>414</v>
      </c>
      <c r="F256" s="205" t="s">
        <v>415</v>
      </c>
      <c r="G256" s="200"/>
      <c r="H256" s="200"/>
      <c r="I256" s="200"/>
      <c r="J256" s="125" t="s">
        <v>161</v>
      </c>
      <c r="K256" s="126">
        <v>117.3</v>
      </c>
      <c r="L256" s="199">
        <v>0</v>
      </c>
      <c r="M256" s="200"/>
      <c r="N256" s="201">
        <f>ROUND($L$256*$K$256,2)</f>
        <v>0</v>
      </c>
      <c r="O256" s="200"/>
      <c r="P256" s="200"/>
      <c r="Q256" s="200"/>
      <c r="R256" s="23"/>
      <c r="T256" s="127"/>
      <c r="U256" s="29" t="s">
        <v>47</v>
      </c>
      <c r="V256" s="128">
        <v>0.053</v>
      </c>
      <c r="W256" s="128">
        <f>$V$256*$K$256</f>
        <v>6.2169</v>
      </c>
      <c r="X256" s="128">
        <v>0.00013</v>
      </c>
      <c r="Y256" s="128">
        <f>$X$256*$K$256</f>
        <v>0.015248999999999999</v>
      </c>
      <c r="Z256" s="128">
        <v>0</v>
      </c>
      <c r="AA256" s="129">
        <f>$Z$256*$K$256</f>
        <v>0</v>
      </c>
      <c r="AR256" s="6" t="s">
        <v>219</v>
      </c>
      <c r="AT256" s="6" t="s">
        <v>146</v>
      </c>
      <c r="AU256" s="6" t="s">
        <v>97</v>
      </c>
      <c r="AY256" s="6" t="s">
        <v>145</v>
      </c>
      <c r="BE256" s="81">
        <f>IF($U$256="základní",$N$256,0)</f>
        <v>0</v>
      </c>
      <c r="BF256" s="81">
        <f>IF($U$256="snížená",$N$256,0)</f>
        <v>0</v>
      </c>
      <c r="BG256" s="81">
        <f>IF($U$256="zákl. přenesená",$N$256,0)</f>
        <v>0</v>
      </c>
      <c r="BH256" s="81">
        <f>IF($U$256="sníž. přenesená",$N$256,0)</f>
        <v>0</v>
      </c>
      <c r="BI256" s="81">
        <f>IF($U$256="nulová",$N$256,0)</f>
        <v>0</v>
      </c>
      <c r="BJ256" s="6" t="s">
        <v>21</v>
      </c>
      <c r="BK256" s="81">
        <f>ROUND($L$256*$K$256,2)</f>
        <v>0</v>
      </c>
      <c r="BL256" s="6" t="s">
        <v>219</v>
      </c>
    </row>
    <row r="257" spans="2:51" s="6" customFormat="1" ht="15.75" customHeight="1">
      <c r="B257" s="130"/>
      <c r="E257" s="131"/>
      <c r="F257" s="203" t="s">
        <v>416</v>
      </c>
      <c r="G257" s="204"/>
      <c r="H257" s="204"/>
      <c r="I257" s="204"/>
      <c r="K257" s="132">
        <v>117.3</v>
      </c>
      <c r="R257" s="133"/>
      <c r="T257" s="134"/>
      <c r="AA257" s="135"/>
      <c r="AT257" s="131" t="s">
        <v>152</v>
      </c>
      <c r="AU257" s="131" t="s">
        <v>97</v>
      </c>
      <c r="AV257" s="131" t="s">
        <v>97</v>
      </c>
      <c r="AW257" s="131" t="s">
        <v>104</v>
      </c>
      <c r="AX257" s="131" t="s">
        <v>21</v>
      </c>
      <c r="AY257" s="131" t="s">
        <v>145</v>
      </c>
    </row>
    <row r="258" spans="2:63" s="113" customFormat="1" ht="37.5" customHeight="1">
      <c r="B258" s="114"/>
      <c r="D258" s="115" t="s">
        <v>118</v>
      </c>
      <c r="N258" s="193">
        <f>$BK$258</f>
        <v>0</v>
      </c>
      <c r="O258" s="196"/>
      <c r="P258" s="196"/>
      <c r="Q258" s="196"/>
      <c r="R258" s="117"/>
      <c r="T258" s="118"/>
      <c r="W258" s="119">
        <f>$W$259</f>
        <v>0</v>
      </c>
      <c r="Y258" s="119">
        <f>$Y$259</f>
        <v>0</v>
      </c>
      <c r="AA258" s="120">
        <f>$AA$259</f>
        <v>0</v>
      </c>
      <c r="AR258" s="116" t="s">
        <v>249</v>
      </c>
      <c r="AT258" s="116" t="s">
        <v>81</v>
      </c>
      <c r="AU258" s="116" t="s">
        <v>82</v>
      </c>
      <c r="AY258" s="116" t="s">
        <v>145</v>
      </c>
      <c r="BK258" s="121">
        <f>$BK$259</f>
        <v>0</v>
      </c>
    </row>
    <row r="259" spans="2:63" s="113" customFormat="1" ht="21" customHeight="1">
      <c r="B259" s="114"/>
      <c r="D259" s="122" t="s">
        <v>119</v>
      </c>
      <c r="N259" s="195">
        <f>$BK$259</f>
        <v>0</v>
      </c>
      <c r="O259" s="196"/>
      <c r="P259" s="196"/>
      <c r="Q259" s="196"/>
      <c r="R259" s="117"/>
      <c r="T259" s="118"/>
      <c r="W259" s="119">
        <f>$W$260</f>
        <v>0</v>
      </c>
      <c r="Y259" s="119">
        <f>$Y$260</f>
        <v>0</v>
      </c>
      <c r="AA259" s="120">
        <f>$AA$260</f>
        <v>0</v>
      </c>
      <c r="AR259" s="116" t="s">
        <v>249</v>
      </c>
      <c r="AT259" s="116" t="s">
        <v>81</v>
      </c>
      <c r="AU259" s="116" t="s">
        <v>21</v>
      </c>
      <c r="AY259" s="116" t="s">
        <v>145</v>
      </c>
      <c r="BK259" s="121">
        <f>$BK$260</f>
        <v>0</v>
      </c>
    </row>
    <row r="260" spans="2:64" s="6" customFormat="1" ht="15.75" customHeight="1">
      <c r="B260" s="22"/>
      <c r="C260" s="123" t="s">
        <v>417</v>
      </c>
      <c r="D260" s="123" t="s">
        <v>146</v>
      </c>
      <c r="E260" s="124" t="s">
        <v>418</v>
      </c>
      <c r="F260" s="205" t="s">
        <v>419</v>
      </c>
      <c r="G260" s="200"/>
      <c r="H260" s="200"/>
      <c r="I260" s="200"/>
      <c r="J260" s="125" t="s">
        <v>420</v>
      </c>
      <c r="K260" s="126">
        <v>1</v>
      </c>
      <c r="L260" s="199">
        <v>0</v>
      </c>
      <c r="M260" s="200"/>
      <c r="N260" s="201">
        <f>ROUND($L$260*$K$260,2)</f>
        <v>0</v>
      </c>
      <c r="O260" s="200"/>
      <c r="P260" s="200"/>
      <c r="Q260" s="200"/>
      <c r="R260" s="23"/>
      <c r="T260" s="127"/>
      <c r="U260" s="29" t="s">
        <v>47</v>
      </c>
      <c r="V260" s="128">
        <v>0</v>
      </c>
      <c r="W260" s="128">
        <f>$V$260*$K$260</f>
        <v>0</v>
      </c>
      <c r="X260" s="128">
        <v>0</v>
      </c>
      <c r="Y260" s="128">
        <f>$X$260*$K$260</f>
        <v>0</v>
      </c>
      <c r="Z260" s="128">
        <v>0</v>
      </c>
      <c r="AA260" s="129">
        <f>$Z$260*$K$260</f>
        <v>0</v>
      </c>
      <c r="AR260" s="6" t="s">
        <v>421</v>
      </c>
      <c r="AT260" s="6" t="s">
        <v>146</v>
      </c>
      <c r="AU260" s="6" t="s">
        <v>97</v>
      </c>
      <c r="AY260" s="6" t="s">
        <v>145</v>
      </c>
      <c r="BE260" s="81">
        <f>IF($U$260="základní",$N$260,0)</f>
        <v>0</v>
      </c>
      <c r="BF260" s="81">
        <f>IF($U$260="snížená",$N$260,0)</f>
        <v>0</v>
      </c>
      <c r="BG260" s="81">
        <f>IF($U$260="zákl. přenesená",$N$260,0)</f>
        <v>0</v>
      </c>
      <c r="BH260" s="81">
        <f>IF($U$260="sníž. přenesená",$N$260,0)</f>
        <v>0</v>
      </c>
      <c r="BI260" s="81">
        <f>IF($U$260="nulová",$N$260,0)</f>
        <v>0</v>
      </c>
      <c r="BJ260" s="6" t="s">
        <v>21</v>
      </c>
      <c r="BK260" s="81">
        <f>ROUND($L$260*$K$260,2)</f>
        <v>0</v>
      </c>
      <c r="BL260" s="6" t="s">
        <v>421</v>
      </c>
    </row>
    <row r="261" spans="2:63" s="6" customFormat="1" ht="51" customHeight="1">
      <c r="B261" s="22"/>
      <c r="D261" s="115" t="s">
        <v>422</v>
      </c>
      <c r="N261" s="193">
        <f>$BK$261</f>
        <v>0</v>
      </c>
      <c r="O261" s="162"/>
      <c r="P261" s="162"/>
      <c r="Q261" s="162"/>
      <c r="R261" s="23"/>
      <c r="T261" s="57"/>
      <c r="AA261" s="58"/>
      <c r="AT261" s="6" t="s">
        <v>81</v>
      </c>
      <c r="AU261" s="6" t="s">
        <v>82</v>
      </c>
      <c r="AY261" s="6" t="s">
        <v>423</v>
      </c>
      <c r="BK261" s="81">
        <f>SUM($BK$262:$BK$266)</f>
        <v>0</v>
      </c>
    </row>
    <row r="262" spans="2:63" s="6" customFormat="1" ht="23.25" customHeight="1">
      <c r="B262" s="22"/>
      <c r="C262" s="147"/>
      <c r="D262" s="147" t="s">
        <v>146</v>
      </c>
      <c r="E262" s="148"/>
      <c r="F262" s="197"/>
      <c r="G262" s="198"/>
      <c r="H262" s="198"/>
      <c r="I262" s="198"/>
      <c r="J262" s="149"/>
      <c r="K262" s="146"/>
      <c r="L262" s="199"/>
      <c r="M262" s="200"/>
      <c r="N262" s="201">
        <f>$BK$262</f>
        <v>0</v>
      </c>
      <c r="O262" s="200"/>
      <c r="P262" s="200"/>
      <c r="Q262" s="200"/>
      <c r="R262" s="23"/>
      <c r="T262" s="127"/>
      <c r="U262" s="150" t="s">
        <v>47</v>
      </c>
      <c r="AA262" s="58"/>
      <c r="AT262" s="6" t="s">
        <v>423</v>
      </c>
      <c r="AU262" s="6" t="s">
        <v>21</v>
      </c>
      <c r="AY262" s="6" t="s">
        <v>423</v>
      </c>
      <c r="BE262" s="81">
        <f>IF($U$262="základní",$N$262,0)</f>
        <v>0</v>
      </c>
      <c r="BF262" s="81">
        <f>IF($U$262="snížená",$N$262,0)</f>
        <v>0</v>
      </c>
      <c r="BG262" s="81">
        <f>IF($U$262="zákl. přenesená",$N$262,0)</f>
        <v>0</v>
      </c>
      <c r="BH262" s="81">
        <f>IF($U$262="sníž. přenesená",$N$262,0)</f>
        <v>0</v>
      </c>
      <c r="BI262" s="81">
        <f>IF($U$262="nulová",$N$262,0)</f>
        <v>0</v>
      </c>
      <c r="BJ262" s="6" t="s">
        <v>21</v>
      </c>
      <c r="BK262" s="81">
        <f>$L$262*$K$262</f>
        <v>0</v>
      </c>
    </row>
    <row r="263" spans="2:63" s="6" customFormat="1" ht="23.25" customHeight="1">
      <c r="B263" s="22"/>
      <c r="C263" s="147"/>
      <c r="D263" s="147" t="s">
        <v>146</v>
      </c>
      <c r="E263" s="148"/>
      <c r="F263" s="197"/>
      <c r="G263" s="198"/>
      <c r="H263" s="198"/>
      <c r="I263" s="198"/>
      <c r="J263" s="149"/>
      <c r="K263" s="146"/>
      <c r="L263" s="199"/>
      <c r="M263" s="200"/>
      <c r="N263" s="201">
        <f>$BK$263</f>
        <v>0</v>
      </c>
      <c r="O263" s="200"/>
      <c r="P263" s="200"/>
      <c r="Q263" s="200"/>
      <c r="R263" s="23"/>
      <c r="T263" s="127"/>
      <c r="U263" s="150" t="s">
        <v>47</v>
      </c>
      <c r="AA263" s="58"/>
      <c r="AT263" s="6" t="s">
        <v>423</v>
      </c>
      <c r="AU263" s="6" t="s">
        <v>21</v>
      </c>
      <c r="AY263" s="6" t="s">
        <v>423</v>
      </c>
      <c r="BE263" s="81">
        <f>IF($U$263="základní",$N$263,0)</f>
        <v>0</v>
      </c>
      <c r="BF263" s="81">
        <f>IF($U$263="snížená",$N$263,0)</f>
        <v>0</v>
      </c>
      <c r="BG263" s="81">
        <f>IF($U$263="zákl. přenesená",$N$263,0)</f>
        <v>0</v>
      </c>
      <c r="BH263" s="81">
        <f>IF($U$263="sníž. přenesená",$N$263,0)</f>
        <v>0</v>
      </c>
      <c r="BI263" s="81">
        <f>IF($U$263="nulová",$N$263,0)</f>
        <v>0</v>
      </c>
      <c r="BJ263" s="6" t="s">
        <v>21</v>
      </c>
      <c r="BK263" s="81">
        <f>$L$263*$K$263</f>
        <v>0</v>
      </c>
    </row>
    <row r="264" spans="2:63" s="6" customFormat="1" ht="23.25" customHeight="1">
      <c r="B264" s="22"/>
      <c r="C264" s="147"/>
      <c r="D264" s="147" t="s">
        <v>146</v>
      </c>
      <c r="E264" s="148"/>
      <c r="F264" s="197"/>
      <c r="G264" s="198"/>
      <c r="H264" s="198"/>
      <c r="I264" s="198"/>
      <c r="J264" s="149"/>
      <c r="K264" s="146"/>
      <c r="L264" s="199"/>
      <c r="M264" s="200"/>
      <c r="N264" s="201">
        <f>$BK$264</f>
        <v>0</v>
      </c>
      <c r="O264" s="200"/>
      <c r="P264" s="200"/>
      <c r="Q264" s="200"/>
      <c r="R264" s="23"/>
      <c r="T264" s="127"/>
      <c r="U264" s="150" t="s">
        <v>47</v>
      </c>
      <c r="AA264" s="58"/>
      <c r="AT264" s="6" t="s">
        <v>423</v>
      </c>
      <c r="AU264" s="6" t="s">
        <v>21</v>
      </c>
      <c r="AY264" s="6" t="s">
        <v>423</v>
      </c>
      <c r="BE264" s="81">
        <f>IF($U$264="základní",$N$264,0)</f>
        <v>0</v>
      </c>
      <c r="BF264" s="81">
        <f>IF($U$264="snížená",$N$264,0)</f>
        <v>0</v>
      </c>
      <c r="BG264" s="81">
        <f>IF($U$264="zákl. přenesená",$N$264,0)</f>
        <v>0</v>
      </c>
      <c r="BH264" s="81">
        <f>IF($U$264="sníž. přenesená",$N$264,0)</f>
        <v>0</v>
      </c>
      <c r="BI264" s="81">
        <f>IF($U$264="nulová",$N$264,0)</f>
        <v>0</v>
      </c>
      <c r="BJ264" s="6" t="s">
        <v>21</v>
      </c>
      <c r="BK264" s="81">
        <f>$L$264*$K$264</f>
        <v>0</v>
      </c>
    </row>
    <row r="265" spans="2:63" s="6" customFormat="1" ht="23.25" customHeight="1">
      <c r="B265" s="22"/>
      <c r="C265" s="147"/>
      <c r="D265" s="147" t="s">
        <v>146</v>
      </c>
      <c r="E265" s="148"/>
      <c r="F265" s="197"/>
      <c r="G265" s="198"/>
      <c r="H265" s="198"/>
      <c r="I265" s="198"/>
      <c r="J265" s="149"/>
      <c r="K265" s="146"/>
      <c r="L265" s="199"/>
      <c r="M265" s="200"/>
      <c r="N265" s="201">
        <f>$BK$265</f>
        <v>0</v>
      </c>
      <c r="O265" s="200"/>
      <c r="P265" s="200"/>
      <c r="Q265" s="200"/>
      <c r="R265" s="23"/>
      <c r="T265" s="127"/>
      <c r="U265" s="150" t="s">
        <v>47</v>
      </c>
      <c r="AA265" s="58"/>
      <c r="AT265" s="6" t="s">
        <v>423</v>
      </c>
      <c r="AU265" s="6" t="s">
        <v>21</v>
      </c>
      <c r="AY265" s="6" t="s">
        <v>423</v>
      </c>
      <c r="BE265" s="81">
        <f>IF($U$265="základní",$N$265,0)</f>
        <v>0</v>
      </c>
      <c r="BF265" s="81">
        <f>IF($U$265="snížená",$N$265,0)</f>
        <v>0</v>
      </c>
      <c r="BG265" s="81">
        <f>IF($U$265="zákl. přenesená",$N$265,0)</f>
        <v>0</v>
      </c>
      <c r="BH265" s="81">
        <f>IF($U$265="sníž. přenesená",$N$265,0)</f>
        <v>0</v>
      </c>
      <c r="BI265" s="81">
        <f>IF($U$265="nulová",$N$265,0)</f>
        <v>0</v>
      </c>
      <c r="BJ265" s="6" t="s">
        <v>21</v>
      </c>
      <c r="BK265" s="81">
        <f>$L$265*$K$265</f>
        <v>0</v>
      </c>
    </row>
    <row r="266" spans="2:63" s="6" customFormat="1" ht="23.25" customHeight="1">
      <c r="B266" s="22"/>
      <c r="C266" s="147"/>
      <c r="D266" s="147" t="s">
        <v>146</v>
      </c>
      <c r="E266" s="148"/>
      <c r="F266" s="197"/>
      <c r="G266" s="198"/>
      <c r="H266" s="198"/>
      <c r="I266" s="198"/>
      <c r="J266" s="149"/>
      <c r="K266" s="146"/>
      <c r="L266" s="199"/>
      <c r="M266" s="200"/>
      <c r="N266" s="201">
        <f>$BK$266</f>
        <v>0</v>
      </c>
      <c r="O266" s="200"/>
      <c r="P266" s="200"/>
      <c r="Q266" s="200"/>
      <c r="R266" s="23"/>
      <c r="T266" s="127"/>
      <c r="U266" s="150" t="s">
        <v>47</v>
      </c>
      <c r="V266" s="41"/>
      <c r="W266" s="41"/>
      <c r="X266" s="41"/>
      <c r="Y266" s="41"/>
      <c r="Z266" s="41"/>
      <c r="AA266" s="43"/>
      <c r="AT266" s="6" t="s">
        <v>423</v>
      </c>
      <c r="AU266" s="6" t="s">
        <v>21</v>
      </c>
      <c r="AY266" s="6" t="s">
        <v>423</v>
      </c>
      <c r="BE266" s="81">
        <f>IF($U$266="základní",$N$266,0)</f>
        <v>0</v>
      </c>
      <c r="BF266" s="81">
        <f>IF($U$266="snížená",$N$266,0)</f>
        <v>0</v>
      </c>
      <c r="BG266" s="81">
        <f>IF($U$266="zákl. přenesená",$N$266,0)</f>
        <v>0</v>
      </c>
      <c r="BH266" s="81">
        <f>IF($U$266="sníž. přenesená",$N$266,0)</f>
        <v>0</v>
      </c>
      <c r="BI266" s="81">
        <f>IF($U$266="nulová",$N$266,0)</f>
        <v>0</v>
      </c>
      <c r="BJ266" s="6" t="s">
        <v>21</v>
      </c>
      <c r="BK266" s="81">
        <f>$L$266*$K$266</f>
        <v>0</v>
      </c>
    </row>
    <row r="267" spans="2:18" s="6" customFormat="1" ht="7.5" customHeight="1">
      <c r="B267" s="44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6"/>
    </row>
    <row r="268" s="2" customFormat="1" ht="14.25" customHeight="1"/>
  </sheetData>
  <sheetProtection/>
  <mergeCells count="376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M23:P23"/>
    <mergeCell ref="M24:P24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N111:Q111"/>
    <mergeCell ref="L113:Q113"/>
    <mergeCell ref="C119:Q119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L189:M189"/>
    <mergeCell ref="N189:Q189"/>
    <mergeCell ref="F192:I192"/>
    <mergeCell ref="L192:M192"/>
    <mergeCell ref="N192:Q192"/>
    <mergeCell ref="N191:Q191"/>
    <mergeCell ref="F193:I193"/>
    <mergeCell ref="F194:I194"/>
    <mergeCell ref="L194:M194"/>
    <mergeCell ref="N194:Q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L210:M210"/>
    <mergeCell ref="N210:Q210"/>
    <mergeCell ref="F212:I212"/>
    <mergeCell ref="L212:M212"/>
    <mergeCell ref="N212:Q212"/>
    <mergeCell ref="F213:I213"/>
    <mergeCell ref="L213:M213"/>
    <mergeCell ref="N213:Q213"/>
    <mergeCell ref="F214:I214"/>
    <mergeCell ref="F215:I215"/>
    <mergeCell ref="L215:M215"/>
    <mergeCell ref="N215:Q215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F228:I228"/>
    <mergeCell ref="F229:I229"/>
    <mergeCell ref="F230:I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L243:M243"/>
    <mergeCell ref="N243:Q243"/>
    <mergeCell ref="F245:I245"/>
    <mergeCell ref="L245:M245"/>
    <mergeCell ref="N245:Q245"/>
    <mergeCell ref="F246:I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3:I253"/>
    <mergeCell ref="L253:M253"/>
    <mergeCell ref="N253:Q253"/>
    <mergeCell ref="F256:I256"/>
    <mergeCell ref="L256:M256"/>
    <mergeCell ref="N256:Q256"/>
    <mergeCell ref="F257:I257"/>
    <mergeCell ref="F260:I260"/>
    <mergeCell ref="L260:M260"/>
    <mergeCell ref="N260:Q260"/>
    <mergeCell ref="N258:Q258"/>
    <mergeCell ref="N259:Q259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N129:Q129"/>
    <mergeCell ref="N130:Q130"/>
    <mergeCell ref="N131:Q131"/>
    <mergeCell ref="N136:Q136"/>
    <mergeCell ref="N162:Q162"/>
    <mergeCell ref="N183:Q183"/>
    <mergeCell ref="N190:Q190"/>
    <mergeCell ref="N261:Q261"/>
    <mergeCell ref="H1:K1"/>
    <mergeCell ref="S2:AC2"/>
    <mergeCell ref="N199:Q199"/>
    <mergeCell ref="N211:Q211"/>
    <mergeCell ref="N216:Q216"/>
    <mergeCell ref="N244:Q244"/>
    <mergeCell ref="N252:Q252"/>
    <mergeCell ref="N255:Q255"/>
    <mergeCell ref="F254:I254"/>
  </mergeCells>
  <dataValidations count="2">
    <dataValidation type="list" allowBlank="1" showInputMessage="1" showErrorMessage="1" error="Povoleny jsou hodnoty K a M." sqref="D262:D267">
      <formula1>"K,M"</formula1>
    </dataValidation>
    <dataValidation type="list" allowBlank="1" showInputMessage="1" showErrorMessage="1" error="Povoleny jsou hodnoty základní, snížená, zákl. přenesená, sníž. přenesená, nulová." sqref="U262:U26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</cp:lastModifiedBy>
  <cp:lastPrinted>2013-08-09T09:18:37Z</cp:lastPrinted>
  <dcterms:modified xsi:type="dcterms:W3CDTF">2013-08-09T09:18:44Z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