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<sst xmlns="http://schemas.openxmlformats.org/spreadsheetml/2006/main" count="1782" uniqueCount="522">
  <si>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</si>
  <si>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</si>
  <si>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</si>
  <si>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</si>
  <si>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</si>
  <si>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</si>
  <si>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</si>
  <si>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</si>
  <si>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</si>
  <si>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</si>
  <si>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</si>
  <si>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</si>
  <si>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</si>
  <si>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</si>
  <si>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</si>
  <si>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</si>
  <si>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</si>
  <si>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</si>
  <si>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</si>
  <si>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</si>
  <si>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</si>
  <si>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</si>
  <si>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</si>
  <si>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</si>
  <si>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</si>
  <si>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</si>
  <si>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</si>
  <si>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</si>
  <si>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</si>
  <si>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</si>
  <si>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</si>
  <si>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</si>
  <si>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</si>
  <si>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</si>
  <si>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</si>
  <si>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</si>
  <si>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</si>
  <si>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</si>
  <si>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</si>
  <si>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</si>
  <si>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</si>
  <si>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</si>
  <si>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</si>
  <si>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</si>
  <si>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</si>
  <si>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</si>
  <si>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</si>
  <si>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</si>
  <si>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</si>
  <si>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</si>
  <si>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</si>
  <si>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</si>
  <si>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</si>
  <si>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</si>
  <si>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</si>
  <si>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</si>
  <si>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</si>
  <si>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</si>
  <si>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</si>
  <si>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</si>
  <si>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</si>
  <si>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</si>
  <si>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</si>
  <si>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</si>
  <si>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</si>
  <si>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</si>
  <si>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</si>
  <si>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</si>
  <si>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</si>
  <si>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</si>
  <si>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</si>
  <si>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</si>
  <si>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</si>
  <si>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</si>
  <si>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</si>
  <si>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</si>
  <si>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</si>
  <si>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</si>
  <si>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</si>
  <si>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</si>
  <si>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</si>
  <si>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</si>
  <si>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</si>
  <si>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</si>
  <si>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</si>
  <si>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</si>
  <si>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</si>
  <si>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</si>
  <si>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</si>
  <si>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</si>
  <si>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</si>
  <si>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</si>
  <si>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</si>
  <si>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</si>
  <si>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</si>
  <si>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</si>
  <si>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</si>
  <si>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</si>
  <si>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</si>
  <si>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</si>
  <si>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</si>
  <si>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</si>
  <si>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</si>
  <si>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</si>
  <si>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</si>
  <si>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</si>
  <si>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</si>
  <si>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</si>
  <si>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</si>
  <si>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</si>
  <si>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</si>
  <si>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</si>
  <si>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</si>
  <si>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</si>
  <si>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</si>
  <si>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</si>
  <si>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</si>
  <si>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</si>
  <si>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</si>
  <si>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</si>
  <si>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</si>
  <si>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Objekt</t>
  </si>
  <si>
    <t>IO2 01</t>
  </si>
  <si>
    <t>Kód</t>
  </si>
  <si>
    <t>0</t>
  </si>
  <si>
    <t>073873116R00</t>
  </si>
  <si>
    <t>119001401R00</t>
  </si>
  <si>
    <t>119001421R00</t>
  </si>
  <si>
    <t>115101301R00</t>
  </si>
  <si>
    <t>115101201R00</t>
  </si>
  <si>
    <t>113151214R00</t>
  </si>
  <si>
    <t>113107141R00</t>
  </si>
  <si>
    <t>113107112R00</t>
  </si>
  <si>
    <t>113107132R00</t>
  </si>
  <si>
    <t>113106231R00</t>
  </si>
  <si>
    <t>111VD</t>
  </si>
  <si>
    <t>130001101R00</t>
  </si>
  <si>
    <t>132201212R00</t>
  </si>
  <si>
    <t>132201209R00</t>
  </si>
  <si>
    <t>132301212R00</t>
  </si>
  <si>
    <t>132301209R00</t>
  </si>
  <si>
    <t>132401201R00</t>
  </si>
  <si>
    <t>131201202R00</t>
  </si>
  <si>
    <t>131201209R00</t>
  </si>
  <si>
    <t>131301202R00</t>
  </si>
  <si>
    <t>131301209R00</t>
  </si>
  <si>
    <t>131401202R00</t>
  </si>
  <si>
    <t>151101102R00</t>
  </si>
  <si>
    <t>151101112R00</t>
  </si>
  <si>
    <t>161101101R00</t>
  </si>
  <si>
    <t>161101151R00</t>
  </si>
  <si>
    <t>162201102R00</t>
  </si>
  <si>
    <t>162201152R00</t>
  </si>
  <si>
    <t>162401102R00</t>
  </si>
  <si>
    <t>162401152R00</t>
  </si>
  <si>
    <t>167101102R00</t>
  </si>
  <si>
    <t>167101152R00</t>
  </si>
  <si>
    <t>171201201R00</t>
  </si>
  <si>
    <t>175101101R00</t>
  </si>
  <si>
    <t>174101101R00</t>
  </si>
  <si>
    <t>180400020RA0</t>
  </si>
  <si>
    <t>212752112R00</t>
  </si>
  <si>
    <t>451572111R00</t>
  </si>
  <si>
    <t>452311131R00</t>
  </si>
  <si>
    <t>712211559R00</t>
  </si>
  <si>
    <t>457971111R00</t>
  </si>
  <si>
    <t>567211120R00</t>
  </si>
  <si>
    <t>564861111R00</t>
  </si>
  <si>
    <t>577112114R00</t>
  </si>
  <si>
    <t>577113114R00</t>
  </si>
  <si>
    <t>599142111R00</t>
  </si>
  <si>
    <t>596215021R00</t>
  </si>
  <si>
    <t>721</t>
  </si>
  <si>
    <t>721242117R00</t>
  </si>
  <si>
    <t>871313121R00</t>
  </si>
  <si>
    <t>871351111R00</t>
  </si>
  <si>
    <t>871371111R00</t>
  </si>
  <si>
    <t>871393121R00</t>
  </si>
  <si>
    <t>877363121R00</t>
  </si>
  <si>
    <t>877373121R00</t>
  </si>
  <si>
    <t>877393121R00</t>
  </si>
  <si>
    <t>871241111R00</t>
  </si>
  <si>
    <t>871311111R00</t>
  </si>
  <si>
    <t>892595111R00</t>
  </si>
  <si>
    <t>894411121R00</t>
  </si>
  <si>
    <t>894411131R00</t>
  </si>
  <si>
    <t>894118001R00</t>
  </si>
  <si>
    <t>899102111R00</t>
  </si>
  <si>
    <t>892233111R00</t>
  </si>
  <si>
    <t>8911111VD</t>
  </si>
  <si>
    <t>893333VD</t>
  </si>
  <si>
    <t>894432112R00</t>
  </si>
  <si>
    <t>894607112R00</t>
  </si>
  <si>
    <t>894302121R00</t>
  </si>
  <si>
    <t>894302122R00</t>
  </si>
  <si>
    <t>894302162R00</t>
  </si>
  <si>
    <t>894502201R00</t>
  </si>
  <si>
    <t>894402211R00</t>
  </si>
  <si>
    <t>895941311RT2</t>
  </si>
  <si>
    <t>894601111R00</t>
  </si>
  <si>
    <t>894204261R00</t>
  </si>
  <si>
    <t>919735113R00</t>
  </si>
  <si>
    <t>914993005R00</t>
  </si>
  <si>
    <t>969021131R00</t>
  </si>
  <si>
    <t>H22</t>
  </si>
  <si>
    <t>998225195R00</t>
  </si>
  <si>
    <t>998225111R00</t>
  </si>
  <si>
    <t>H27</t>
  </si>
  <si>
    <t>998276101R00</t>
  </si>
  <si>
    <t>S</t>
  </si>
  <si>
    <t>979082318R00</t>
  </si>
  <si>
    <t>001VD</t>
  </si>
  <si>
    <t>002VD</t>
  </si>
  <si>
    <t>003VD</t>
  </si>
  <si>
    <t>004VD</t>
  </si>
  <si>
    <t>005VD</t>
  </si>
  <si>
    <t>006VD</t>
  </si>
  <si>
    <t>007VD</t>
  </si>
  <si>
    <t>008VD</t>
  </si>
  <si>
    <t>010VD</t>
  </si>
  <si>
    <t>011VD</t>
  </si>
  <si>
    <t>012VD</t>
  </si>
  <si>
    <t>013VD</t>
  </si>
  <si>
    <t>014VD</t>
  </si>
  <si>
    <t>015VD</t>
  </si>
  <si>
    <t>016VD</t>
  </si>
  <si>
    <t>017VD</t>
  </si>
  <si>
    <t>018VD</t>
  </si>
  <si>
    <t>019VD</t>
  </si>
  <si>
    <t>020VD</t>
  </si>
  <si>
    <t>021VD</t>
  </si>
  <si>
    <t>022VD</t>
  </si>
  <si>
    <t>023VD</t>
  </si>
  <si>
    <t>024VD</t>
  </si>
  <si>
    <t>025VD</t>
  </si>
  <si>
    <t>026VD</t>
  </si>
  <si>
    <t>027VD</t>
  </si>
  <si>
    <t>028VD</t>
  </si>
  <si>
    <t>029VD</t>
  </si>
  <si>
    <t>030VD</t>
  </si>
  <si>
    <t>62852608</t>
  </si>
  <si>
    <t>286971895</t>
  </si>
  <si>
    <t>REKONSTRUKCE KANALIZAČNÍ STOKY Jb, ul. PŘÍKRÁ, KOLÍN</t>
  </si>
  <si>
    <t>KANALIZACE</t>
  </si>
  <si>
    <t>KOLÍN</t>
  </si>
  <si>
    <t>Zkrácený popis</t>
  </si>
  <si>
    <t>Rozměry</t>
  </si>
  <si>
    <t>KANALIZACE GRAVITAČNÍ JEDNOTNÁ</t>
  </si>
  <si>
    <t>Všeobecné konstrukce a práce</t>
  </si>
  <si>
    <t>Osazování žebříků do šachet</t>
  </si>
  <si>
    <t>Přípravné a přidružené práce</t>
  </si>
  <si>
    <t>Dočasné zajištění ocelového potrubí do DN 200 mm</t>
  </si>
  <si>
    <t>Dočasné zajištění kabelů - do počtu 3 kabelů</t>
  </si>
  <si>
    <t>Pohotovost čerp.soupravy, výška 10 m, přítok 500 l</t>
  </si>
  <si>
    <t>Čerpání vody na výšku do 10 m, přítok do 500 l</t>
  </si>
  <si>
    <t>Frézování krytu do 500 m2, bez překážek, tl.5 cm</t>
  </si>
  <si>
    <t>Odstranění podkladu pl. do 200 m2, živice tl. 5 cm</t>
  </si>
  <si>
    <t>Odstranění podkladu pl. 200 m2,kam.těžené tl.20 cm</t>
  </si>
  <si>
    <t>Odstranění podkladu pl.200 m2, bet.prostý tl.20 cm</t>
  </si>
  <si>
    <t>Rozebrání dlažeb ze zámkové dlažby v kamenivu</t>
  </si>
  <si>
    <t>Zkouška zhutnění</t>
  </si>
  <si>
    <t>Hloubené vykopávky</t>
  </si>
  <si>
    <t>Příplatek za ztížené hloubení v blízkosti vedení</t>
  </si>
  <si>
    <t>Hloubení rýh š.do 200 cm hor.3 do 1000m3,STROJNĚ</t>
  </si>
  <si>
    <t>Příplatek za lepivost - hloubení rýh 200cm v hor.3</t>
  </si>
  <si>
    <t>Hloubení rýh š.do 200 cm hor.4 do 1000 m3, STROJNĚ</t>
  </si>
  <si>
    <t>Příplatek za lepivost - hloubení rýh 200cm v hor.4</t>
  </si>
  <si>
    <t>Hloubení rýh šířky do 200 cm v hor.5</t>
  </si>
  <si>
    <t>Hloubení zapažených jam v hor.3 do 1000 m3</t>
  </si>
  <si>
    <t>Příplatek za lepivost - hloubení zapaž.jam v hor.3</t>
  </si>
  <si>
    <t>Hloubení zapažených jam v hor.4 do 1000 m3</t>
  </si>
  <si>
    <t>Příplatek za lepivost - hloubení zapaž.jam v hor.4</t>
  </si>
  <si>
    <t>Hloubení zapažených jam v hor.5 do 1000 m3</t>
  </si>
  <si>
    <t>Roubení</t>
  </si>
  <si>
    <t>Pažení a rozepření stěn rýh - příložné - hl. do 4m</t>
  </si>
  <si>
    <t>Odstranění pažení stěn rýh - příložné - hl. do 4 m</t>
  </si>
  <si>
    <t>Přemístění výkopku</t>
  </si>
  <si>
    <t>Svislé přemístění výkopku z hor.1-4 do 2,5 m</t>
  </si>
  <si>
    <t>Svislé přemístění výkopku z hor.5-7 do 2,5 m</t>
  </si>
  <si>
    <t>Vodorovné přemístění výkopku z hor.1-4 do 50 m</t>
  </si>
  <si>
    <t>Vodorovné přemístění výkopku z hor.5-7 do 50 m</t>
  </si>
  <si>
    <t>Vodorovné přemístění výkopku z hor.1-4 do 2000 m</t>
  </si>
  <si>
    <t>Vodorovné přemístění výkopku z hor.5-7 do 2000 m</t>
  </si>
  <si>
    <t>Nakládání výkopku z hor.1-4 v množství nad 100 m3</t>
  </si>
  <si>
    <t>Nakládání výkopku z hor.5-7 v množství nad 100 m3</t>
  </si>
  <si>
    <t>Konstrukce ze zemin</t>
  </si>
  <si>
    <t>Uložení sypaniny na skl.-modelace na výšku přes 2m včetně skládkovného</t>
  </si>
  <si>
    <t>Obsyp potrubí bez prohození sypaniny</t>
  </si>
  <si>
    <t>Zásyp jam, rýh, šachet se zhutněním</t>
  </si>
  <si>
    <t>Povrchové úpravy terénu</t>
  </si>
  <si>
    <t>Založení trávníku parkového, rovina, dodání osiva</t>
  </si>
  <si>
    <t>Úprava podloží a základové spáry</t>
  </si>
  <si>
    <t>Trativody z drenážních trubek, lože, DN 100 mm</t>
  </si>
  <si>
    <t>Podkladní a vedlejší konstrukce (kromě vozovek a železničního svršku)</t>
  </si>
  <si>
    <t>Lože pod potrubí z kameniva těženého 0 - 4 mm</t>
  </si>
  <si>
    <t>Desky podkladní pod šachty z betonu C 30/37-XC3-XA2</t>
  </si>
  <si>
    <t>Asfaltový izolační pás typ S</t>
  </si>
  <si>
    <t>Zřízení vrstvy z geotextilie , 300g/1m2, vč. dodávky</t>
  </si>
  <si>
    <t>Podkladní vrstvy komunikací a zpevněných ploch</t>
  </si>
  <si>
    <t>Podklad z prostého betonu tř. I  tloušťky 20 cm</t>
  </si>
  <si>
    <t>Podklad ze štěrkodrti po zhutnění tloušťky 20 cm</t>
  </si>
  <si>
    <t>Kryty štěrkových a živičných pozemních komunikací a zpevněných ploch</t>
  </si>
  <si>
    <t>Beton asfalt. ACO 11 S modifik. š. do 3 m, tl.5 cm</t>
  </si>
  <si>
    <t>Beton asfalt. ACO 16 S modif.obrus. š.do 3 m, 5 cm</t>
  </si>
  <si>
    <t>Dlažby a předlažby pozemních komunikací a zpevněných ploch</t>
  </si>
  <si>
    <t>Úprava zálivky dil.spár hloubky do 4 cm š. do 4 cm</t>
  </si>
  <si>
    <t>Kladení zámkové dlažby tl. 6 cm do drtě tl. 4 cm</t>
  </si>
  <si>
    <t>Vnitřní kanalizace</t>
  </si>
  <si>
    <t>Lapač střešních splavenin litinový DN 150 - montáž</t>
  </si>
  <si>
    <t>Potrubí z trub plastických, skleněných a čedičových</t>
  </si>
  <si>
    <t>Montáž trub z plastu, gumový kroužek, DN 150</t>
  </si>
  <si>
    <t>Montáž trubek z tvrdého PVC ve výkopu DN 250 mm</t>
  </si>
  <si>
    <t>Montáž trubek z tvrdého PVC ve výkopu DN 300 mm</t>
  </si>
  <si>
    <t>Montáž trubek z tvrdého PVC ve výkopu, DN 400</t>
  </si>
  <si>
    <t>Montáž tvarovek odboč. plast. gum. kroužek DN 250</t>
  </si>
  <si>
    <t>Montáž tvarovek odboč. plast. gum. kroužek DN 300</t>
  </si>
  <si>
    <t>Montáž tvarovek odboč. plast. gum. kroužek DN 400</t>
  </si>
  <si>
    <t>Přeložka stávajícího vodovodu DN 80</t>
  </si>
  <si>
    <t>Přeložka stávajícího vodovodu DN 150</t>
  </si>
  <si>
    <t>Ostatní konstrukce a práce na trubním vedení</t>
  </si>
  <si>
    <t>Zabezpečení konců a zkouška vzduch. kan. DN do 400</t>
  </si>
  <si>
    <t>Zřízení šachet z dílců, dno C25/30, potrubí DN 300</t>
  </si>
  <si>
    <t>Zřízení šachet z dílců, dno C25/30, potrubí DN 400</t>
  </si>
  <si>
    <t>Příplatek za dalších 0,60 m výšky vstupu</t>
  </si>
  <si>
    <t>Osazení poklopu s rámem do 100 kg</t>
  </si>
  <si>
    <t>Kamerová prohlídka stok</t>
  </si>
  <si>
    <t>Geodetické práce</t>
  </si>
  <si>
    <t>Dokumentace skutečného provedení</t>
  </si>
  <si>
    <t>Osazení plastové šachty revizní prům.400 mm,</t>
  </si>
  <si>
    <t>Výztuž šachet z oceli 10 425 (BSt 500 S)</t>
  </si>
  <si>
    <t>Stěny šachet železobetonové C 30/37.XC3-XA2, tl. nad 20 cm</t>
  </si>
  <si>
    <t>Strop šachet z železobetonu C 30/37.XC3-XA2,</t>
  </si>
  <si>
    <t>Dno šachet z železobetonu V 4 - C 30/37.XC3-XA2,</t>
  </si>
  <si>
    <t>Bednění stěn šachet pravoúhlých oboustranné, včetně odbednění</t>
  </si>
  <si>
    <t>Osazení beton. skruží přechodových 60/100/70/9</t>
  </si>
  <si>
    <t>Zřízení vpusti uliční z dílců typ UVB - 50</t>
  </si>
  <si>
    <t>Výztuž šachet ze svařované sítě z drátů KARI</t>
  </si>
  <si>
    <t>Výplňový beton šachty C30/37 -XC3-XA2,včetně vytvoření kynety</t>
  </si>
  <si>
    <t>Doplňující konstrukce a práce na pozemních komunikacích a zpevněných plochách</t>
  </si>
  <si>
    <t>Řezání stávajícího živičného krytu tl. 10 - 15 cm</t>
  </si>
  <si>
    <t>Dopravní značení</t>
  </si>
  <si>
    <t>Bourání konstrukcí</t>
  </si>
  <si>
    <t>Vybourání stávající kanalizace</t>
  </si>
  <si>
    <t>Komunikace pozemní a letiště</t>
  </si>
  <si>
    <t>Poplatek za skládkovné vybouraných sutí, včetně původní stoky</t>
  </si>
  <si>
    <t>Přesun hmot, pozemní komunikace, kryt živičný</t>
  </si>
  <si>
    <t>Vedení trubní dálková a přípojná</t>
  </si>
  <si>
    <t>Přesun hmot, trubní vedení plastová, otevř. výkop</t>
  </si>
  <si>
    <t>Přesuny sutí</t>
  </si>
  <si>
    <t>Vodorovná doprava suti, vybourané původní stoky a hmot po suchu do 6000 m</t>
  </si>
  <si>
    <t>Ostatní materiál</t>
  </si>
  <si>
    <t>Potrubí PP plnožebrované SN 10 280/250 - 6 m</t>
  </si>
  <si>
    <t>Potrubí PP plnožebrované SN 10 335/300 - 6 m</t>
  </si>
  <si>
    <t>Potrubí PP plnožebrované SN 10 450/400</t>
  </si>
  <si>
    <t>Potrubí KGEM s hrdlem PVC DN 150 SN 8  - 5 m</t>
  </si>
  <si>
    <t xml:space="preserve"> PP odbočka UREA/KG 250/150</t>
  </si>
  <si>
    <t>PP odbočka UREA/KG 300/150</t>
  </si>
  <si>
    <t>PP odbočka  UREA/KG 400/150</t>
  </si>
  <si>
    <t>PP odbočka UREA/UR 400/200</t>
  </si>
  <si>
    <t>Štěrkopísek 0-8</t>
  </si>
  <si>
    <t>Šachtové dno TBZ-Q 1 1000/500/150</t>
  </si>
  <si>
    <t>Šachtové dno TBZ-Q 1 1000/700/150</t>
  </si>
  <si>
    <t>Těsnění pro DN 1000 Q 1</t>
  </si>
  <si>
    <t>Šachtová skruž TBS-Q.1 1000/250/120</t>
  </si>
  <si>
    <t>Šachtová skruž TBS-Q.1 1000/500120</t>
  </si>
  <si>
    <t>Zákrytová deska TBK_Q.1 1000/625/200/D</t>
  </si>
  <si>
    <t>Šachtový kónus TBR-Q.1 1000/625/600/120 OKS</t>
  </si>
  <si>
    <t>Vyrovnávací prstenec TBV-Q.1 625/120/120</t>
  </si>
  <si>
    <t>Vyrovnávací prstenec TBV-Q.1 625/60/120</t>
  </si>
  <si>
    <t>Poklop litinový D400 s ventilací</t>
  </si>
  <si>
    <t>Poklop litinový D400 bez ventilace</t>
  </si>
  <si>
    <t>Revizní šachta PVC 400/150</t>
  </si>
  <si>
    <t>Lapač splavenin DN 100</t>
  </si>
  <si>
    <t>Redukce PVC DN 100/150</t>
  </si>
  <si>
    <t>Koleno PVC DN 100 87°</t>
  </si>
  <si>
    <t>Uliční vpusť  komplet</t>
  </si>
  <si>
    <t>Poklop litinový D400 s mříží</t>
  </si>
  <si>
    <t>Vyrovnávací prstenec TBV-Q.1 625/100/120</t>
  </si>
  <si>
    <t>Potrubí PP plnožebrované SN 10 225/200 - 6 m</t>
  </si>
  <si>
    <t>Přísada XYPEX</t>
  </si>
  <si>
    <t>Pás asfaltový typ S</t>
  </si>
  <si>
    <t>Žárově pozinkovaný žebřík do šachty   L=2 m</t>
  </si>
  <si>
    <t>Doba výstavby:</t>
  </si>
  <si>
    <t>Začátek výstavby:</t>
  </si>
  <si>
    <t>Konec výstavby:</t>
  </si>
  <si>
    <t>Zpracováno dne:</t>
  </si>
  <si>
    <t>M.j.</t>
  </si>
  <si>
    <t>m</t>
  </si>
  <si>
    <t>den</t>
  </si>
  <si>
    <t>h</t>
  </si>
  <si>
    <t>m2</t>
  </si>
  <si>
    <t>kus</t>
  </si>
  <si>
    <t>m3</t>
  </si>
  <si>
    <t>úsek</t>
  </si>
  <si>
    <t>kpl</t>
  </si>
  <si>
    <t>t</t>
  </si>
  <si>
    <t>sada</t>
  </si>
  <si>
    <t>ks</t>
  </si>
  <si>
    <t>KS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</si>
  <si>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</si>
  <si>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</si>
  <si>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</si>
  <si>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</si>
  <si>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</si>
  <si>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</si>
  <si>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</si>
  <si>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</si>
  <si>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</si>
  <si>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</si>
  <si>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</si>
  <si>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</si>
  <si>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</t>
  </si>
  <si>
    <t>VODOS s.r.o.</t>
  </si>
  <si>
    <t>HAVELOVÁ JAROSLAVA</t>
  </si>
  <si>
    <t>Celkem</t>
  </si>
  <si>
    <t>Hmotnost (t)</t>
  </si>
  <si>
    <t>Cenová</t>
  </si>
  <si>
    <t>soustava</t>
  </si>
  <si>
    <t>RTS I / 2013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</si>
  <si>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</si>
  <si>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</si>
  <si>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</si>
  <si>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</si>
  <si>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</si>
  <si>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</si>
  <si>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</si>
  <si>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</si>
  <si>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</si>
  <si>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</si>
  <si>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</si>
  <si>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</si>
  <si>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</si>
  <si>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</si>
  <si>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2*1</t>
  </si>
  <si>
    <t>5*1</t>
  </si>
  <si>
    <t>22*1,1</t>
  </si>
  <si>
    <t>22*1,1+5,7*1+26,6*0,95</t>
  </si>
  <si>
    <t>5,7*1+26,6*0,95</t>
  </si>
  <si>
    <t>0,95*1</t>
  </si>
  <si>
    <t>1*1,9*2*7</t>
  </si>
  <si>
    <t>28*1,7*0,85*0,35+26,6*1,6*0,95*0,35+33,4*2*1*0,35+35,3*2,3*1,1*0,35</t>
  </si>
  <si>
    <t>28*1,7*0,85*0,50+26,6*1,6*0,95*0,5+33,4*2*1*0,5+35,3*2,3*1,1*0,5</t>
  </si>
  <si>
    <t>28*1,7*0,85*0,15+26,6*1,6*0,95*0,15+33,4*2*1*0,15+35,3*2,3*1,1*0,15</t>
  </si>
  <si>
    <t>(2*2,5*2,5*1,6-2*2,5*0,95*1,6+2*2,5*2,5*2-2*2,5*1*2+3*2,5*2,5*2,3-3*2,5*1,1*2,3)*0,35</t>
  </si>
  <si>
    <t>(2*2,5*2,5*1,6-2*2,5*0,95*1,6+2*2,5*2,5*2-2*2,5*1*2+3*2,5*2,5*2,3-3*2,5*1,1*2,3)*0,5</t>
  </si>
  <si>
    <t>(2*2,5*2,5*1,6-2*2,5*0,95*1,6+2*2,5*2,5*2-2*2,5*1*2+3*2,5*2,5*2,3-3*2,5*1,1*2,3)*0,15</t>
  </si>
  <si>
    <t>28*1,7*2+26,6*1,6*2+33,4*2*2+35,3*2,3*2</t>
  </si>
  <si>
    <t>(28*1,7*0,85*0,85+26,6*1,6*0,95*0,85+33,4*2*1*0,85+35,3*2,3*1,1*0,85)*0,5</t>
  </si>
  <si>
    <t>(28*1,7*0,85*0,15+26,6*1,6*0,95*0,15+33,4*2*1*0,15+35,3*2,3*1,1*0,15)*0,5</t>
  </si>
  <si>
    <t>71,83*0,85</t>
  </si>
  <si>
    <t>71,83*0,15</t>
  </si>
  <si>
    <t>(52+12+3*3,14*0,5*0,5*2,3+2*3,14*0,5*0,5*2+2*3,14*0,5*0,5*1,6)*0,85</t>
  </si>
  <si>
    <t>(52+12+3*3,14*0,5*0,5*2,3+2*3,14*0,5*0,5*2+2*3,14*0,5*0,5*1,6)*0,15</t>
  </si>
  <si>
    <t>28*0,85*(0,3+0,15)-(3,14*0,15*0,15/4/1000)*28</t>
  </si>
  <si>
    <t>26,6*0,95*(0,3+0,25)-((3,14*0,25*0,25/4)/1000)*26,6</t>
  </si>
  <si>
    <t>33,4*1*(0,3+0,3)-((3,14*0,3*0,3/4)/1000)*33,4</t>
  </si>
  <si>
    <t>35,3*1,1*(0,3+0,4)-(3,14*0,4*0,4/4/1000)*35,3</t>
  </si>
  <si>
    <t>82,95+118,5+35,55-(52+12+3*3,14*0,5*0,5*2,3+2*3,14*0,5*0,5*2+2*3,14*0,5*0,5*1,6)</t>
  </si>
  <si>
    <t>41*1,1</t>
  </si>
  <si>
    <t>26,6+33,4+35,3</t>
  </si>
  <si>
    <t>(28*0,85+26,6*0,95+33,4*1+35,3*1,1)*0,1</t>
  </si>
  <si>
    <t>2,4*1,6*0,1+2,4*0,4/2*0,1</t>
  </si>
  <si>
    <t>2,6*1,8+2,6*0,5/2</t>
  </si>
  <si>
    <t>22*2</t>
  </si>
  <si>
    <t>26,6</t>
  </si>
  <si>
    <t>33,4</t>
  </si>
  <si>
    <t>35,3</t>
  </si>
  <si>
    <t>0,376</t>
  </si>
  <si>
    <t>(2,2+1,45+1,25+1,36+1,47)*2,3*0,3</t>
  </si>
  <si>
    <t>(1,45*2,2*0,3)+(2,2*0,69)/2*0,3</t>
  </si>
  <si>
    <t>(2,2+1,45+1,25+1,36+1,47)*2,3</t>
  </si>
  <si>
    <t>0,08</t>
  </si>
  <si>
    <t>0,5</t>
  </si>
  <si>
    <t>3,09+5,4+7,43+12,1</t>
  </si>
  <si>
    <t>23,74+13,42+0,16</t>
  </si>
  <si>
    <t>286,3664-28,02-37,32</t>
  </si>
  <si>
    <t>4,9*1,093</t>
  </si>
  <si>
    <t>5,6*1,093</t>
  </si>
  <si>
    <t>5,8*1,093</t>
  </si>
  <si>
    <t>116</t>
  </si>
  <si>
    <t>7,69*5</t>
  </si>
  <si>
    <t>Cenová soustava</t>
  </si>
  <si>
    <t>včetně dodávky dílců pro uliční vpusti TBV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</si>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</sst>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29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0" fillId="0" borderId="29" xfId="0" applyNumberFormat="1" applyFont="1" applyFill="1" applyBorder="1" applyAlignment="1" applyProtection="1">
      <alignment horizontal="right" vertical="center"/>
      <protection/>
    </xf>
    <xf numFmtId="49" fontId="10" fillId="0" borderId="29" xfId="0" applyNumberFormat="1" applyFont="1" applyFill="1" applyBorder="1" applyAlignment="1" applyProtection="1">
      <alignment horizontal="right" vertical="center"/>
      <protection/>
    </xf>
    <xf numFmtId="4" fontId="9" fillId="33" borderId="35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40" xfId="0" applyNumberFormat="1" applyFont="1" applyFill="1" applyBorder="1" applyAlignment="1" applyProtection="1">
      <alignment horizontal="left" vertical="center"/>
      <protection/>
    </xf>
    <xf numFmtId="0" fontId="10" fillId="0" borderId="46" xfId="0" applyNumberFormat="1" applyFont="1" applyFill="1" applyBorder="1" applyAlignment="1" applyProtection="1">
      <alignment horizontal="left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7" xfId="0" applyNumberFormat="1" applyFont="1" applyFill="1" applyBorder="1" applyAlignment="1" applyProtection="1">
      <alignment horizontal="left" vertical="center"/>
      <protection/>
    </xf>
    <xf numFmtId="49" fontId="10" fillId="0" borderId="48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49" xfId="0" applyNumberFormat="1" applyFont="1" applyFill="1" applyBorder="1" applyAlignment="1" applyProtection="1">
      <alignment horizontal="left" vertical="center"/>
      <protection/>
    </xf>
    <xf numFmtId="49" fontId="9" fillId="33" borderId="50" xfId="0" applyNumberFormat="1" applyFont="1" applyFill="1" applyBorder="1" applyAlignment="1" applyProtection="1">
      <alignment horizontal="left" vertical="center"/>
      <protection/>
    </xf>
    <xf numFmtId="0" fontId="9" fillId="33" borderId="32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10" fillId="0" borderId="50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9"/>
  <sheetViews>
    <sheetView zoomScalePageLayoutView="0" workbookViewId="0" topLeftCell="A4">
      <selection activeCell="G14" sqref="G14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4.8515625" style="0" customWidth="1"/>
    <col min="5" max="5" width="4.851562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12.140625" style="0" hidden="1" customWidth="1"/>
  </cols>
  <sheetData>
    <row r="1" spans="1:13" ht="21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4" ht="12.75">
      <c r="A2" s="78" t="s">
        <v>1</v>
      </c>
      <c r="B2" s="79"/>
      <c r="C2" s="79"/>
      <c r="D2" s="80" t="s">
        <v>242</v>
      </c>
      <c r="E2" s="82" t="s">
        <v>382</v>
      </c>
      <c r="F2" s="79"/>
      <c r="G2" s="82"/>
      <c r="H2" s="79"/>
      <c r="I2" s="83" t="s">
        <v>406</v>
      </c>
      <c r="J2" s="83" t="s">
        <v>411</v>
      </c>
      <c r="K2" s="79"/>
      <c r="L2" s="79"/>
      <c r="M2" s="84"/>
      <c r="N2" s="30"/>
    </row>
    <row r="3" spans="1:14" ht="12.75">
      <c r="A3" s="75"/>
      <c r="B3" s="67"/>
      <c r="C3" s="67"/>
      <c r="D3" s="81"/>
      <c r="E3" s="67"/>
      <c r="F3" s="67"/>
      <c r="G3" s="67"/>
      <c r="H3" s="67"/>
      <c r="I3" s="67"/>
      <c r="J3" s="67"/>
      <c r="K3" s="67"/>
      <c r="L3" s="67"/>
      <c r="M3" s="73"/>
      <c r="N3" s="30"/>
    </row>
    <row r="4" spans="1:14" ht="12.75">
      <c r="A4" s="66" t="s">
        <v>2</v>
      </c>
      <c r="B4" s="67"/>
      <c r="C4" s="67"/>
      <c r="D4" s="70" t="s">
        <v>243</v>
      </c>
      <c r="E4" s="71" t="s">
        <v>383</v>
      </c>
      <c r="F4" s="67"/>
      <c r="G4" s="71" t="s">
        <v>6</v>
      </c>
      <c r="H4" s="67"/>
      <c r="I4" s="70" t="s">
        <v>407</v>
      </c>
      <c r="J4" s="70" t="s">
        <v>412</v>
      </c>
      <c r="K4" s="67"/>
      <c r="L4" s="67"/>
      <c r="M4" s="73"/>
      <c r="N4" s="30"/>
    </row>
    <row r="5" spans="1:14" ht="12.75">
      <c r="A5" s="75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73"/>
      <c r="N5" s="30"/>
    </row>
    <row r="6" spans="1:14" ht="12.75">
      <c r="A6" s="66" t="s">
        <v>3</v>
      </c>
      <c r="B6" s="67"/>
      <c r="C6" s="67"/>
      <c r="D6" s="70" t="s">
        <v>244</v>
      </c>
      <c r="E6" s="71" t="s">
        <v>384</v>
      </c>
      <c r="F6" s="67"/>
      <c r="G6" s="67"/>
      <c r="H6" s="67"/>
      <c r="I6" s="70" t="s">
        <v>408</v>
      </c>
      <c r="J6" s="70"/>
      <c r="K6" s="67"/>
      <c r="L6" s="67"/>
      <c r="M6" s="73"/>
      <c r="N6" s="30"/>
    </row>
    <row r="7" spans="1:14" ht="12.75">
      <c r="A7" s="75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73"/>
      <c r="N7" s="30"/>
    </row>
    <row r="8" spans="1:14" ht="12.75">
      <c r="A8" s="66" t="s">
        <v>4</v>
      </c>
      <c r="B8" s="67"/>
      <c r="C8" s="67"/>
      <c r="D8" s="70"/>
      <c r="E8" s="71" t="s">
        <v>385</v>
      </c>
      <c r="F8" s="67"/>
      <c r="G8" s="72">
        <v>41457</v>
      </c>
      <c r="H8" s="67"/>
      <c r="I8" s="70" t="s">
        <v>409</v>
      </c>
      <c r="J8" s="70" t="s">
        <v>413</v>
      </c>
      <c r="K8" s="67"/>
      <c r="L8" s="67"/>
      <c r="M8" s="73"/>
      <c r="N8" s="30"/>
    </row>
    <row r="9" spans="1:14" ht="12.7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4"/>
      <c r="N9" s="30"/>
    </row>
    <row r="10" spans="1:14" ht="12.75">
      <c r="A10" s="1" t="s">
        <v>5</v>
      </c>
      <c r="B10" s="9" t="s">
        <v>121</v>
      </c>
      <c r="C10" s="9" t="s">
        <v>123</v>
      </c>
      <c r="D10" s="9" t="s">
        <v>245</v>
      </c>
      <c r="E10" s="9" t="s">
        <v>386</v>
      </c>
      <c r="F10" s="14" t="s">
        <v>400</v>
      </c>
      <c r="G10" s="18" t="s">
        <v>401</v>
      </c>
      <c r="H10" s="61" t="s">
        <v>403</v>
      </c>
      <c r="I10" s="62"/>
      <c r="J10" s="63"/>
      <c r="K10" s="61" t="s">
        <v>415</v>
      </c>
      <c r="L10" s="63"/>
      <c r="M10" s="25" t="s">
        <v>416</v>
      </c>
      <c r="N10" s="31"/>
    </row>
    <row r="11" spans="1:24" ht="12.75">
      <c r="A11" s="2" t="s">
        <v>6</v>
      </c>
      <c r="B11" s="10" t="s">
        <v>6</v>
      </c>
      <c r="C11" s="10" t="s">
        <v>6</v>
      </c>
      <c r="D11" s="13" t="s">
        <v>246</v>
      </c>
      <c r="E11" s="10" t="s">
        <v>6</v>
      </c>
      <c r="F11" s="10" t="s">
        <v>6</v>
      </c>
      <c r="G11" s="19" t="s">
        <v>402</v>
      </c>
      <c r="H11" s="20" t="s">
        <v>404</v>
      </c>
      <c r="I11" s="21" t="s">
        <v>410</v>
      </c>
      <c r="J11" s="22" t="s">
        <v>414</v>
      </c>
      <c r="K11" s="20" t="s">
        <v>401</v>
      </c>
      <c r="L11" s="22" t="s">
        <v>414</v>
      </c>
      <c r="M11" s="26" t="s">
        <v>417</v>
      </c>
      <c r="N11" s="31"/>
      <c r="P11" s="24" t="s">
        <v>419</v>
      </c>
      <c r="Q11" s="24" t="s">
        <v>420</v>
      </c>
      <c r="R11" s="24" t="s">
        <v>425</v>
      </c>
      <c r="S11" s="24" t="s">
        <v>426</v>
      </c>
      <c r="T11" s="24" t="s">
        <v>427</v>
      </c>
      <c r="U11" s="24" t="s">
        <v>428</v>
      </c>
      <c r="V11" s="24" t="s">
        <v>429</v>
      </c>
      <c r="W11" s="24" t="s">
        <v>430</v>
      </c>
      <c r="X11" s="24" t="s">
        <v>431</v>
      </c>
    </row>
    <row r="12" spans="1:13" ht="12.75">
      <c r="A12" s="3"/>
      <c r="B12" s="11" t="s">
        <v>122</v>
      </c>
      <c r="C12" s="11"/>
      <c r="D12" s="64" t="s">
        <v>247</v>
      </c>
      <c r="E12" s="65"/>
      <c r="F12" s="65"/>
      <c r="G12" s="65"/>
      <c r="H12" s="33">
        <f>H13+H15+H25+H27+H39+H42+H51+H55+H57+H59+H64+H67+H71+H74+H76+H86+H105+H108+H110+H113+H115+H117</f>
        <v>0</v>
      </c>
      <c r="I12" s="33">
        <f>I13+I15+I25+I27+I39+I42+I51+I55+I57+I59+I64+I67+I71+I74+I76+I86+I105+I108+I110+I113+I115+I117</f>
        <v>0</v>
      </c>
      <c r="J12" s="33">
        <f>H12+I12</f>
        <v>0</v>
      </c>
      <c r="K12" s="23"/>
      <c r="L12" s="33">
        <f>L13+L15+L25+L27+L39+L42+L51+L55+L57+L59+L64+L67+L71+L74+L76+L86+L105+L108+L110+L113+L115+L117</f>
        <v>286.36632349999996</v>
      </c>
      <c r="M12" s="23"/>
    </row>
    <row r="13" spans="1:37" ht="12.75">
      <c r="A13" s="4"/>
      <c r="B13" s="12" t="s">
        <v>122</v>
      </c>
      <c r="C13" s="12" t="s">
        <v>124</v>
      </c>
      <c r="D13" s="57" t="s">
        <v>248</v>
      </c>
      <c r="E13" s="58"/>
      <c r="F13" s="58"/>
      <c r="G13" s="58"/>
      <c r="H13" s="34">
        <f>SUM(H14:H14)</f>
        <v>0</v>
      </c>
      <c r="I13" s="34">
        <f>SUM(I14:I14)</f>
        <v>0</v>
      </c>
      <c r="J13" s="34">
        <f>H13+I13</f>
        <v>0</v>
      </c>
      <c r="K13" s="24"/>
      <c r="L13" s="34">
        <f>SUM(L14:L14)</f>
        <v>0</v>
      </c>
      <c r="M13" s="24"/>
      <c r="P13" s="34">
        <f>IF(Q13="PR",J13,SUM(O14:O14))</f>
        <v>0</v>
      </c>
      <c r="Q13" s="24" t="s">
        <v>421</v>
      </c>
      <c r="R13" s="34">
        <f>IF(Q13="HS",H13,0)</f>
        <v>0</v>
      </c>
      <c r="S13" s="34">
        <f>IF(Q13="HS",I13-P13,0)</f>
        <v>0</v>
      </c>
      <c r="T13" s="34">
        <f>IF(Q13="PS",H13,0)</f>
        <v>0</v>
      </c>
      <c r="U13" s="34">
        <f>IF(Q13="PS",I13-P13,0)</f>
        <v>0</v>
      </c>
      <c r="V13" s="34">
        <f>IF(Q13="MP",H13,0)</f>
        <v>0</v>
      </c>
      <c r="W13" s="34">
        <f>IF(Q13="MP",I13-P13,0)</f>
        <v>0</v>
      </c>
      <c r="X13" s="34">
        <f>IF(Q13="OM",H13,0)</f>
        <v>0</v>
      </c>
      <c r="Y13" s="24" t="s">
        <v>122</v>
      </c>
      <c r="AI13" s="34">
        <f>SUM(Z14:Z14)</f>
        <v>0</v>
      </c>
      <c r="AJ13" s="34">
        <f>SUM(AA14:AA14)</f>
        <v>0</v>
      </c>
      <c r="AK13" s="34">
        <f>SUM(AB14:AB14)</f>
        <v>0</v>
      </c>
    </row>
    <row r="14" spans="1:32" ht="12.75">
      <c r="A14" s="5" t="s">
        <v>7</v>
      </c>
      <c r="B14" s="5" t="s">
        <v>122</v>
      </c>
      <c r="C14" s="5" t="s">
        <v>125</v>
      </c>
      <c r="D14" s="5" t="s">
        <v>249</v>
      </c>
      <c r="E14" s="5" t="s">
        <v>387</v>
      </c>
      <c r="F14" s="15">
        <v>1</v>
      </c>
      <c r="G14" s="15"/>
      <c r="H14" s="15">
        <f>ROUND(F14*AE14,2)</f>
        <v>0</v>
      </c>
      <c r="I14" s="15">
        <f>J14-H14</f>
        <v>0</v>
      </c>
      <c r="J14" s="15">
        <f>ROUND(F14*G14,2)</f>
        <v>0</v>
      </c>
      <c r="K14" s="15">
        <v>0</v>
      </c>
      <c r="L14" s="15">
        <f>F14*K14</f>
        <v>0</v>
      </c>
      <c r="M14" s="27" t="s">
        <v>418</v>
      </c>
      <c r="N14" s="27" t="s">
        <v>7</v>
      </c>
      <c r="O14" s="15">
        <f>IF(N14="5",I14,0)</f>
        <v>0</v>
      </c>
      <c r="Z14" s="15">
        <f>IF(AD14=0,J14,0)</f>
        <v>0</v>
      </c>
      <c r="AA14" s="15">
        <f>IF(AD14=15,J14,0)</f>
        <v>0</v>
      </c>
      <c r="AB14" s="15">
        <f>IF(AD14=21,J14,0)</f>
        <v>0</v>
      </c>
      <c r="AD14" s="32">
        <v>21</v>
      </c>
      <c r="AE14" s="32">
        <f>G14*0</f>
        <v>0</v>
      </c>
      <c r="AF14" s="32">
        <f>G14*(1-0)</f>
        <v>0</v>
      </c>
    </row>
    <row r="15" spans="1:37" ht="12.75">
      <c r="A15" s="4"/>
      <c r="B15" s="12" t="s">
        <v>122</v>
      </c>
      <c r="C15" s="12" t="s">
        <v>17</v>
      </c>
      <c r="D15" s="57" t="s">
        <v>250</v>
      </c>
      <c r="E15" s="58"/>
      <c r="F15" s="58"/>
      <c r="G15" s="58"/>
      <c r="H15" s="34">
        <f>SUM(H16:H24)</f>
        <v>0</v>
      </c>
      <c r="I15" s="34">
        <f>SUM(I16:I24)</f>
        <v>0</v>
      </c>
      <c r="J15" s="34">
        <f>H15+I15</f>
        <v>0</v>
      </c>
      <c r="K15" s="24"/>
      <c r="L15" s="34">
        <f>SUM(L16:L24)</f>
        <v>28.17834</v>
      </c>
      <c r="M15" s="24"/>
      <c r="P15" s="34">
        <f>IF(Q15="PR",J15,SUM(O16:O24))</f>
        <v>0</v>
      </c>
      <c r="Q15" s="24" t="s">
        <v>421</v>
      </c>
      <c r="R15" s="34">
        <f>IF(Q15="HS",H15,0)</f>
        <v>0</v>
      </c>
      <c r="S15" s="34">
        <f>IF(Q15="HS",I15-P15,0)</f>
        <v>0</v>
      </c>
      <c r="T15" s="34">
        <f>IF(Q15="PS",H15,0)</f>
        <v>0</v>
      </c>
      <c r="U15" s="34">
        <f>IF(Q15="PS",I15-P15,0)</f>
        <v>0</v>
      </c>
      <c r="V15" s="34">
        <f>IF(Q15="MP",H15,0)</f>
        <v>0</v>
      </c>
      <c r="W15" s="34">
        <f>IF(Q15="MP",I15-P15,0)</f>
        <v>0</v>
      </c>
      <c r="X15" s="34">
        <f>IF(Q15="OM",H15,0)</f>
        <v>0</v>
      </c>
      <c r="Y15" s="24" t="s">
        <v>122</v>
      </c>
      <c r="AI15" s="34">
        <f>SUM(Z16:Z24)</f>
        <v>0</v>
      </c>
      <c r="AJ15" s="34">
        <f>SUM(AA16:AA24)</f>
        <v>0</v>
      </c>
      <c r="AK15" s="34">
        <f>SUM(AB16:AB24)</f>
        <v>0</v>
      </c>
    </row>
    <row r="16" spans="1:32" ht="12.75">
      <c r="A16" s="5" t="s">
        <v>8</v>
      </c>
      <c r="B16" s="5" t="s">
        <v>122</v>
      </c>
      <c r="C16" s="5" t="s">
        <v>126</v>
      </c>
      <c r="D16" s="5" t="s">
        <v>251</v>
      </c>
      <c r="E16" s="5" t="s">
        <v>387</v>
      </c>
      <c r="F16" s="15">
        <v>2</v>
      </c>
      <c r="G16" s="15"/>
      <c r="H16" s="15">
        <f aca="true" t="shared" si="0" ref="H16:H24">ROUND(F16*AE16,2)</f>
        <v>0</v>
      </c>
      <c r="I16" s="15">
        <f aca="true" t="shared" si="1" ref="I16:I24">J16-H16</f>
        <v>0</v>
      </c>
      <c r="J16" s="15">
        <f aca="true" t="shared" si="2" ref="J16:J24">ROUND(F16*G16,2)</f>
        <v>0</v>
      </c>
      <c r="K16" s="15">
        <v>0.00869</v>
      </c>
      <c r="L16" s="15">
        <f aca="true" t="shared" si="3" ref="L16:L24">F16*K16</f>
        <v>0.01738</v>
      </c>
      <c r="M16" s="27" t="s">
        <v>418</v>
      </c>
      <c r="N16" s="27" t="s">
        <v>7</v>
      </c>
      <c r="O16" s="15">
        <f aca="true" t="shared" si="4" ref="O16:O24">IF(N16="5",I16,0)</f>
        <v>0</v>
      </c>
      <c r="Z16" s="15">
        <f aca="true" t="shared" si="5" ref="Z16:Z24">IF(AD16=0,J16,0)</f>
        <v>0</v>
      </c>
      <c r="AA16" s="15">
        <f aca="true" t="shared" si="6" ref="AA16:AA24">IF(AD16=15,J16,0)</f>
        <v>0</v>
      </c>
      <c r="AB16" s="15">
        <f aca="true" t="shared" si="7" ref="AB16:AB24">IF(AD16=21,J16,0)</f>
        <v>0</v>
      </c>
      <c r="AD16" s="32">
        <v>21</v>
      </c>
      <c r="AE16" s="32">
        <f>G16*0.36567619047619</f>
        <v>0</v>
      </c>
      <c r="AF16" s="32">
        <f>G16*(1-0.36567619047619)</f>
        <v>0</v>
      </c>
    </row>
    <row r="17" spans="1:32" ht="12.75">
      <c r="A17" s="5" t="s">
        <v>9</v>
      </c>
      <c r="B17" s="5" t="s">
        <v>122</v>
      </c>
      <c r="C17" s="5" t="s">
        <v>127</v>
      </c>
      <c r="D17" s="5" t="s">
        <v>252</v>
      </c>
      <c r="E17" s="5" t="s">
        <v>387</v>
      </c>
      <c r="F17" s="15">
        <v>5</v>
      </c>
      <c r="G17" s="15"/>
      <c r="H17" s="15">
        <f t="shared" si="0"/>
        <v>0</v>
      </c>
      <c r="I17" s="15">
        <f t="shared" si="1"/>
        <v>0</v>
      </c>
      <c r="J17" s="15">
        <f t="shared" si="2"/>
        <v>0</v>
      </c>
      <c r="K17" s="15">
        <v>0.02478</v>
      </c>
      <c r="L17" s="15">
        <f t="shared" si="3"/>
        <v>0.1239</v>
      </c>
      <c r="M17" s="27" t="s">
        <v>418</v>
      </c>
      <c r="N17" s="27" t="s">
        <v>7</v>
      </c>
      <c r="O17" s="15">
        <f t="shared" si="4"/>
        <v>0</v>
      </c>
      <c r="Z17" s="15">
        <f t="shared" si="5"/>
        <v>0</v>
      </c>
      <c r="AA17" s="15">
        <f t="shared" si="6"/>
        <v>0</v>
      </c>
      <c r="AB17" s="15">
        <f t="shared" si="7"/>
        <v>0</v>
      </c>
      <c r="AD17" s="32">
        <v>21</v>
      </c>
      <c r="AE17" s="32">
        <f>G17*0.376918979127318</f>
        <v>0</v>
      </c>
      <c r="AF17" s="32">
        <f>G17*(1-0.376918979127318)</f>
        <v>0</v>
      </c>
    </row>
    <row r="18" spans="1:32" ht="12.75">
      <c r="A18" s="5" t="s">
        <v>10</v>
      </c>
      <c r="B18" s="5" t="s">
        <v>122</v>
      </c>
      <c r="C18" s="5" t="s">
        <v>128</v>
      </c>
      <c r="D18" s="5" t="s">
        <v>253</v>
      </c>
      <c r="E18" s="5" t="s">
        <v>388</v>
      </c>
      <c r="F18" s="15">
        <v>15</v>
      </c>
      <c r="G18" s="15"/>
      <c r="H18" s="15">
        <f t="shared" si="0"/>
        <v>0</v>
      </c>
      <c r="I18" s="15">
        <f t="shared" si="1"/>
        <v>0</v>
      </c>
      <c r="J18" s="15">
        <f t="shared" si="2"/>
        <v>0</v>
      </c>
      <c r="K18" s="15">
        <v>0</v>
      </c>
      <c r="L18" s="15">
        <f t="shared" si="3"/>
        <v>0</v>
      </c>
      <c r="M18" s="27" t="s">
        <v>418</v>
      </c>
      <c r="N18" s="27" t="s">
        <v>7</v>
      </c>
      <c r="O18" s="15">
        <f t="shared" si="4"/>
        <v>0</v>
      </c>
      <c r="Z18" s="15">
        <f t="shared" si="5"/>
        <v>0</v>
      </c>
      <c r="AA18" s="15">
        <f t="shared" si="6"/>
        <v>0</v>
      </c>
      <c r="AB18" s="15">
        <f t="shared" si="7"/>
        <v>0</v>
      </c>
      <c r="AD18" s="32">
        <v>21</v>
      </c>
      <c r="AE18" s="32">
        <f aca="true" t="shared" si="8" ref="AE18:AE24">G18*0</f>
        <v>0</v>
      </c>
      <c r="AF18" s="32">
        <f aca="true" t="shared" si="9" ref="AF18:AF24">G18*(1-0)</f>
        <v>0</v>
      </c>
    </row>
    <row r="19" spans="1:32" ht="12.75">
      <c r="A19" s="5" t="s">
        <v>11</v>
      </c>
      <c r="B19" s="5" t="s">
        <v>122</v>
      </c>
      <c r="C19" s="5" t="s">
        <v>129</v>
      </c>
      <c r="D19" s="5" t="s">
        <v>254</v>
      </c>
      <c r="E19" s="5" t="s">
        <v>389</v>
      </c>
      <c r="F19" s="15">
        <v>3</v>
      </c>
      <c r="G19" s="15"/>
      <c r="H19" s="15">
        <f t="shared" si="0"/>
        <v>0</v>
      </c>
      <c r="I19" s="15">
        <f t="shared" si="1"/>
        <v>0</v>
      </c>
      <c r="J19" s="15">
        <f t="shared" si="2"/>
        <v>0</v>
      </c>
      <c r="K19" s="15">
        <v>0</v>
      </c>
      <c r="L19" s="15">
        <f t="shared" si="3"/>
        <v>0</v>
      </c>
      <c r="M19" s="27" t="s">
        <v>418</v>
      </c>
      <c r="N19" s="27" t="s">
        <v>7</v>
      </c>
      <c r="O19" s="15">
        <f t="shared" si="4"/>
        <v>0</v>
      </c>
      <c r="Z19" s="15">
        <f t="shared" si="5"/>
        <v>0</v>
      </c>
      <c r="AA19" s="15">
        <f t="shared" si="6"/>
        <v>0</v>
      </c>
      <c r="AB19" s="15">
        <f t="shared" si="7"/>
        <v>0</v>
      </c>
      <c r="AD19" s="32">
        <v>21</v>
      </c>
      <c r="AE19" s="32">
        <f t="shared" si="8"/>
        <v>0</v>
      </c>
      <c r="AF19" s="32">
        <f t="shared" si="9"/>
        <v>0</v>
      </c>
    </row>
    <row r="20" spans="1:32" ht="12.75">
      <c r="A20" s="5" t="s">
        <v>12</v>
      </c>
      <c r="B20" s="5" t="s">
        <v>122</v>
      </c>
      <c r="C20" s="5" t="s">
        <v>130</v>
      </c>
      <c r="D20" s="5" t="s">
        <v>255</v>
      </c>
      <c r="E20" s="5" t="s">
        <v>390</v>
      </c>
      <c r="F20" s="15">
        <v>24.2</v>
      </c>
      <c r="G20" s="15"/>
      <c r="H20" s="15">
        <f t="shared" si="0"/>
        <v>0</v>
      </c>
      <c r="I20" s="15">
        <f t="shared" si="1"/>
        <v>0</v>
      </c>
      <c r="J20" s="15">
        <f t="shared" si="2"/>
        <v>0</v>
      </c>
      <c r="K20" s="15">
        <v>0.128</v>
      </c>
      <c r="L20" s="15">
        <f t="shared" si="3"/>
        <v>3.0976</v>
      </c>
      <c r="M20" s="27" t="s">
        <v>418</v>
      </c>
      <c r="N20" s="27" t="s">
        <v>7</v>
      </c>
      <c r="O20" s="15">
        <f t="shared" si="4"/>
        <v>0</v>
      </c>
      <c r="Z20" s="15">
        <f t="shared" si="5"/>
        <v>0</v>
      </c>
      <c r="AA20" s="15">
        <f t="shared" si="6"/>
        <v>0</v>
      </c>
      <c r="AB20" s="15">
        <f t="shared" si="7"/>
        <v>0</v>
      </c>
      <c r="AD20" s="32">
        <v>21</v>
      </c>
      <c r="AE20" s="32">
        <f t="shared" si="8"/>
        <v>0</v>
      </c>
      <c r="AF20" s="32">
        <f t="shared" si="9"/>
        <v>0</v>
      </c>
    </row>
    <row r="21" spans="1:32" ht="12.75">
      <c r="A21" s="5" t="s">
        <v>13</v>
      </c>
      <c r="B21" s="5" t="s">
        <v>122</v>
      </c>
      <c r="C21" s="5" t="s">
        <v>131</v>
      </c>
      <c r="D21" s="5" t="s">
        <v>256</v>
      </c>
      <c r="E21" s="5" t="s">
        <v>390</v>
      </c>
      <c r="F21" s="15">
        <v>55.17</v>
      </c>
      <c r="G21" s="15"/>
      <c r="H21" s="15">
        <f t="shared" si="0"/>
        <v>0</v>
      </c>
      <c r="I21" s="15">
        <f t="shared" si="1"/>
        <v>0</v>
      </c>
      <c r="J21" s="15">
        <f t="shared" si="2"/>
        <v>0</v>
      </c>
      <c r="K21" s="15">
        <v>0.098</v>
      </c>
      <c r="L21" s="15">
        <f t="shared" si="3"/>
        <v>5.4066600000000005</v>
      </c>
      <c r="M21" s="27" t="s">
        <v>418</v>
      </c>
      <c r="N21" s="27" t="s">
        <v>7</v>
      </c>
      <c r="O21" s="15">
        <f t="shared" si="4"/>
        <v>0</v>
      </c>
      <c r="Z21" s="15">
        <f t="shared" si="5"/>
        <v>0</v>
      </c>
      <c r="AA21" s="15">
        <f t="shared" si="6"/>
        <v>0</v>
      </c>
      <c r="AB21" s="15">
        <f t="shared" si="7"/>
        <v>0</v>
      </c>
      <c r="AD21" s="32">
        <v>21</v>
      </c>
      <c r="AE21" s="32">
        <f t="shared" si="8"/>
        <v>0</v>
      </c>
      <c r="AF21" s="32">
        <f t="shared" si="9"/>
        <v>0</v>
      </c>
    </row>
    <row r="22" spans="1:32" ht="12.75">
      <c r="A22" s="5" t="s">
        <v>14</v>
      </c>
      <c r="B22" s="5" t="s">
        <v>122</v>
      </c>
      <c r="C22" s="5" t="s">
        <v>132</v>
      </c>
      <c r="D22" s="5" t="s">
        <v>257</v>
      </c>
      <c r="E22" s="5" t="s">
        <v>390</v>
      </c>
      <c r="F22" s="15">
        <v>30.97</v>
      </c>
      <c r="G22" s="15"/>
      <c r="H22" s="15">
        <f t="shared" si="0"/>
        <v>0</v>
      </c>
      <c r="I22" s="15">
        <f t="shared" si="1"/>
        <v>0</v>
      </c>
      <c r="J22" s="15">
        <f t="shared" si="2"/>
        <v>0</v>
      </c>
      <c r="K22" s="15">
        <v>0.24</v>
      </c>
      <c r="L22" s="15">
        <f t="shared" si="3"/>
        <v>7.432799999999999</v>
      </c>
      <c r="M22" s="27" t="s">
        <v>418</v>
      </c>
      <c r="N22" s="27" t="s">
        <v>7</v>
      </c>
      <c r="O22" s="15">
        <f t="shared" si="4"/>
        <v>0</v>
      </c>
      <c r="Z22" s="15">
        <f t="shared" si="5"/>
        <v>0</v>
      </c>
      <c r="AA22" s="15">
        <f t="shared" si="6"/>
        <v>0</v>
      </c>
      <c r="AB22" s="15">
        <f t="shared" si="7"/>
        <v>0</v>
      </c>
      <c r="AD22" s="32">
        <v>21</v>
      </c>
      <c r="AE22" s="32">
        <f t="shared" si="8"/>
        <v>0</v>
      </c>
      <c r="AF22" s="32">
        <f t="shared" si="9"/>
        <v>0</v>
      </c>
    </row>
    <row r="23" spans="1:32" ht="12.75">
      <c r="A23" s="5" t="s">
        <v>15</v>
      </c>
      <c r="B23" s="5" t="s">
        <v>122</v>
      </c>
      <c r="C23" s="5" t="s">
        <v>133</v>
      </c>
      <c r="D23" s="5" t="s">
        <v>258</v>
      </c>
      <c r="E23" s="5" t="s">
        <v>390</v>
      </c>
      <c r="F23" s="15">
        <v>24.2</v>
      </c>
      <c r="G23" s="15"/>
      <c r="H23" s="15">
        <f t="shared" si="0"/>
        <v>0</v>
      </c>
      <c r="I23" s="15">
        <f t="shared" si="1"/>
        <v>0</v>
      </c>
      <c r="J23" s="15">
        <f t="shared" si="2"/>
        <v>0</v>
      </c>
      <c r="K23" s="15">
        <v>0.5</v>
      </c>
      <c r="L23" s="15">
        <f t="shared" si="3"/>
        <v>12.1</v>
      </c>
      <c r="M23" s="27" t="s">
        <v>418</v>
      </c>
      <c r="N23" s="27" t="s">
        <v>7</v>
      </c>
      <c r="O23" s="15">
        <f t="shared" si="4"/>
        <v>0</v>
      </c>
      <c r="Z23" s="15">
        <f t="shared" si="5"/>
        <v>0</v>
      </c>
      <c r="AA23" s="15">
        <f t="shared" si="6"/>
        <v>0</v>
      </c>
      <c r="AB23" s="15">
        <f t="shared" si="7"/>
        <v>0</v>
      </c>
      <c r="AD23" s="32">
        <v>21</v>
      </c>
      <c r="AE23" s="32">
        <f t="shared" si="8"/>
        <v>0</v>
      </c>
      <c r="AF23" s="32">
        <f t="shared" si="9"/>
        <v>0</v>
      </c>
    </row>
    <row r="24" spans="1:32" ht="12.75">
      <c r="A24" s="5" t="s">
        <v>16</v>
      </c>
      <c r="B24" s="5" t="s">
        <v>122</v>
      </c>
      <c r="C24" s="5" t="s">
        <v>134</v>
      </c>
      <c r="D24" s="5" t="s">
        <v>259</v>
      </c>
      <c r="E24" s="5" t="s">
        <v>390</v>
      </c>
      <c r="F24" s="15">
        <v>0.95</v>
      </c>
      <c r="G24" s="15"/>
      <c r="H24" s="15">
        <f t="shared" si="0"/>
        <v>0</v>
      </c>
      <c r="I24" s="15">
        <f t="shared" si="1"/>
        <v>0</v>
      </c>
      <c r="J24" s="15">
        <f t="shared" si="2"/>
        <v>0</v>
      </c>
      <c r="K24" s="15">
        <v>0</v>
      </c>
      <c r="L24" s="15">
        <f t="shared" si="3"/>
        <v>0</v>
      </c>
      <c r="M24" s="27" t="s">
        <v>418</v>
      </c>
      <c r="N24" s="27" t="s">
        <v>7</v>
      </c>
      <c r="O24" s="15">
        <f t="shared" si="4"/>
        <v>0</v>
      </c>
      <c r="Z24" s="15">
        <f t="shared" si="5"/>
        <v>0</v>
      </c>
      <c r="AA24" s="15">
        <f t="shared" si="6"/>
        <v>0</v>
      </c>
      <c r="AB24" s="15">
        <f t="shared" si="7"/>
        <v>0</v>
      </c>
      <c r="AD24" s="32">
        <v>21</v>
      </c>
      <c r="AE24" s="32">
        <f t="shared" si="8"/>
        <v>0</v>
      </c>
      <c r="AF24" s="32">
        <f t="shared" si="9"/>
        <v>0</v>
      </c>
    </row>
    <row r="25" spans="1:37" ht="12.75">
      <c r="A25" s="4"/>
      <c r="B25" s="12" t="s">
        <v>122</v>
      </c>
      <c r="C25" s="12" t="s">
        <v>135</v>
      </c>
      <c r="D25" s="57" t="s">
        <v>250</v>
      </c>
      <c r="E25" s="58"/>
      <c r="F25" s="58"/>
      <c r="G25" s="58"/>
      <c r="H25" s="34">
        <f>SUM(H26:H26)</f>
        <v>0</v>
      </c>
      <c r="I25" s="34">
        <f>SUM(I26:I26)</f>
        <v>0</v>
      </c>
      <c r="J25" s="34">
        <f>H25+I25</f>
        <v>0</v>
      </c>
      <c r="K25" s="24"/>
      <c r="L25" s="34">
        <f>SUM(L26:L26)</f>
        <v>0</v>
      </c>
      <c r="M25" s="24"/>
      <c r="P25" s="34">
        <f>IF(Q25="PR",J25,SUM(O26:O26))</f>
        <v>0</v>
      </c>
      <c r="Q25" s="24" t="s">
        <v>421</v>
      </c>
      <c r="R25" s="34">
        <f>IF(Q25="HS",H25,0)</f>
        <v>0</v>
      </c>
      <c r="S25" s="34">
        <f>IF(Q25="HS",I25-P25,0)</f>
        <v>0</v>
      </c>
      <c r="T25" s="34">
        <f>IF(Q25="PS",H25,0)</f>
        <v>0</v>
      </c>
      <c r="U25" s="34">
        <f>IF(Q25="PS",I25-P25,0)</f>
        <v>0</v>
      </c>
      <c r="V25" s="34">
        <f>IF(Q25="MP",H25,0)</f>
        <v>0</v>
      </c>
      <c r="W25" s="34">
        <f>IF(Q25="MP",I25-P25,0)</f>
        <v>0</v>
      </c>
      <c r="X25" s="34">
        <f>IF(Q25="OM",H25,0)</f>
        <v>0</v>
      </c>
      <c r="Y25" s="24" t="s">
        <v>122</v>
      </c>
      <c r="AI25" s="34">
        <f>SUM(Z26:Z26)</f>
        <v>0</v>
      </c>
      <c r="AJ25" s="34">
        <f>SUM(AA26:AA26)</f>
        <v>0</v>
      </c>
      <c r="AK25" s="34">
        <f>SUM(AB26:AB26)</f>
        <v>0</v>
      </c>
    </row>
    <row r="26" spans="1:32" ht="12.75">
      <c r="A26" s="5" t="s">
        <v>17</v>
      </c>
      <c r="B26" s="5" t="s">
        <v>122</v>
      </c>
      <c r="C26" s="5" t="s">
        <v>135</v>
      </c>
      <c r="D26" s="5" t="s">
        <v>260</v>
      </c>
      <c r="E26" s="5" t="s">
        <v>391</v>
      </c>
      <c r="F26" s="15">
        <v>2</v>
      </c>
      <c r="G26" s="15"/>
      <c r="H26" s="15">
        <f>ROUND(F26*AE26,2)</f>
        <v>0</v>
      </c>
      <c r="I26" s="15">
        <f>J26-H26</f>
        <v>0</v>
      </c>
      <c r="J26" s="15">
        <f>ROUND(F26*G26,2)</f>
        <v>0</v>
      </c>
      <c r="K26" s="15">
        <v>0</v>
      </c>
      <c r="L26" s="15">
        <f>F26*K26</f>
        <v>0</v>
      </c>
      <c r="M26" s="27"/>
      <c r="N26" s="27" t="s">
        <v>7</v>
      </c>
      <c r="O26" s="15">
        <f>IF(N26="5",I26,0)</f>
        <v>0</v>
      </c>
      <c r="Z26" s="15">
        <f>IF(AD26=0,J26,0)</f>
        <v>0</v>
      </c>
      <c r="AA26" s="15">
        <f>IF(AD26=15,J26,0)</f>
        <v>0</v>
      </c>
      <c r="AB26" s="15">
        <f>IF(AD26=21,J26,0)</f>
        <v>0</v>
      </c>
      <c r="AD26" s="32">
        <v>21</v>
      </c>
      <c r="AE26" s="32">
        <f>G26*0</f>
        <v>0</v>
      </c>
      <c r="AF26" s="32">
        <f>G26*(1-0)</f>
        <v>0</v>
      </c>
    </row>
    <row r="27" spans="1:37" ht="12.75">
      <c r="A27" s="4"/>
      <c r="B27" s="12" t="s">
        <v>122</v>
      </c>
      <c r="C27" s="12" t="s">
        <v>19</v>
      </c>
      <c r="D27" s="57" t="s">
        <v>261</v>
      </c>
      <c r="E27" s="58"/>
      <c r="F27" s="58"/>
      <c r="G27" s="58"/>
      <c r="H27" s="34">
        <f>SUM(H28:H38)</f>
        <v>0</v>
      </c>
      <c r="I27" s="34">
        <f>SUM(I28:I38)</f>
        <v>0</v>
      </c>
      <c r="J27" s="34">
        <f>H27+I27</f>
        <v>0</v>
      </c>
      <c r="K27" s="24"/>
      <c r="L27" s="34">
        <f>SUM(L28:L38)</f>
        <v>0.4341572</v>
      </c>
      <c r="M27" s="24"/>
      <c r="P27" s="34">
        <f>IF(Q27="PR",J27,SUM(O28:O38))</f>
        <v>0</v>
      </c>
      <c r="Q27" s="24" t="s">
        <v>421</v>
      </c>
      <c r="R27" s="34">
        <f>IF(Q27="HS",H27,0)</f>
        <v>0</v>
      </c>
      <c r="S27" s="34">
        <f>IF(Q27="HS",I27-P27,0)</f>
        <v>0</v>
      </c>
      <c r="T27" s="34">
        <f>IF(Q27="PS",H27,0)</f>
        <v>0</v>
      </c>
      <c r="U27" s="34">
        <f>IF(Q27="PS",I27-P27,0)</f>
        <v>0</v>
      </c>
      <c r="V27" s="34">
        <f>IF(Q27="MP",H27,0)</f>
        <v>0</v>
      </c>
      <c r="W27" s="34">
        <f>IF(Q27="MP",I27-P27,0)</f>
        <v>0</v>
      </c>
      <c r="X27" s="34">
        <f>IF(Q27="OM",H27,0)</f>
        <v>0</v>
      </c>
      <c r="Y27" s="24" t="s">
        <v>122</v>
      </c>
      <c r="AI27" s="34">
        <f>SUM(Z28:Z38)</f>
        <v>0</v>
      </c>
      <c r="AJ27" s="34">
        <f>SUM(AA28:AA38)</f>
        <v>0</v>
      </c>
      <c r="AK27" s="34">
        <f>SUM(AB28:AB38)</f>
        <v>0</v>
      </c>
    </row>
    <row r="28" spans="1:32" ht="12.75">
      <c r="A28" s="5" t="s">
        <v>18</v>
      </c>
      <c r="B28" s="5" t="s">
        <v>122</v>
      </c>
      <c r="C28" s="5" t="s">
        <v>136</v>
      </c>
      <c r="D28" s="5" t="s">
        <v>262</v>
      </c>
      <c r="E28" s="5" t="s">
        <v>392</v>
      </c>
      <c r="F28" s="15">
        <v>26.6</v>
      </c>
      <c r="G28" s="15"/>
      <c r="H28" s="15">
        <f aca="true" t="shared" si="10" ref="H28:H38">ROUND(F28*AE28,2)</f>
        <v>0</v>
      </c>
      <c r="I28" s="15">
        <f aca="true" t="shared" si="11" ref="I28:I38">J28-H28</f>
        <v>0</v>
      </c>
      <c r="J28" s="15">
        <f aca="true" t="shared" si="12" ref="J28:J38">ROUND(F28*G28,2)</f>
        <v>0</v>
      </c>
      <c r="K28" s="15">
        <v>0</v>
      </c>
      <c r="L28" s="15">
        <f aca="true" t="shared" si="13" ref="L28:L38">F28*K28</f>
        <v>0</v>
      </c>
      <c r="M28" s="27" t="s">
        <v>418</v>
      </c>
      <c r="N28" s="27" t="s">
        <v>7</v>
      </c>
      <c r="O28" s="15">
        <f aca="true" t="shared" si="14" ref="O28:O38">IF(N28="5",I28,0)</f>
        <v>0</v>
      </c>
      <c r="Z28" s="15">
        <f aca="true" t="shared" si="15" ref="Z28:Z38">IF(AD28=0,J28,0)</f>
        <v>0</v>
      </c>
      <c r="AA28" s="15">
        <f aca="true" t="shared" si="16" ref="AA28:AA38">IF(AD28=15,J28,0)</f>
        <v>0</v>
      </c>
      <c r="AB28" s="15">
        <f aca="true" t="shared" si="17" ref="AB28:AB38">IF(AD28=21,J28,0)</f>
        <v>0</v>
      </c>
      <c r="AD28" s="32">
        <v>21</v>
      </c>
      <c r="AE28" s="32">
        <f>G28*0</f>
        <v>0</v>
      </c>
      <c r="AF28" s="32">
        <f>G28*(1-0)</f>
        <v>0</v>
      </c>
    </row>
    <row r="29" spans="1:32" ht="12.75">
      <c r="A29" s="5" t="s">
        <v>19</v>
      </c>
      <c r="B29" s="5" t="s">
        <v>122</v>
      </c>
      <c r="C29" s="5" t="s">
        <v>137</v>
      </c>
      <c r="D29" s="5" t="s">
        <v>263</v>
      </c>
      <c r="E29" s="5" t="s">
        <v>392</v>
      </c>
      <c r="F29" s="15">
        <v>82.95</v>
      </c>
      <c r="G29" s="15"/>
      <c r="H29" s="15">
        <f t="shared" si="10"/>
        <v>0</v>
      </c>
      <c r="I29" s="15">
        <f t="shared" si="11"/>
        <v>0</v>
      </c>
      <c r="J29" s="15">
        <f t="shared" si="12"/>
        <v>0</v>
      </c>
      <c r="K29" s="15">
        <v>0</v>
      </c>
      <c r="L29" s="15">
        <f t="shared" si="13"/>
        <v>0</v>
      </c>
      <c r="M29" s="27" t="s">
        <v>418</v>
      </c>
      <c r="N29" s="27" t="s">
        <v>7</v>
      </c>
      <c r="O29" s="15">
        <f t="shared" si="14"/>
        <v>0</v>
      </c>
      <c r="Z29" s="15">
        <f t="shared" si="15"/>
        <v>0</v>
      </c>
      <c r="AA29" s="15">
        <f t="shared" si="16"/>
        <v>0</v>
      </c>
      <c r="AB29" s="15">
        <f t="shared" si="17"/>
        <v>0</v>
      </c>
      <c r="AD29" s="32">
        <v>21</v>
      </c>
      <c r="AE29" s="32">
        <f>G29*0</f>
        <v>0</v>
      </c>
      <c r="AF29" s="32">
        <f>G29*(1-0)</f>
        <v>0</v>
      </c>
    </row>
    <row r="30" spans="1:32" ht="12.75">
      <c r="A30" s="5" t="s">
        <v>20</v>
      </c>
      <c r="B30" s="5" t="s">
        <v>122</v>
      </c>
      <c r="C30" s="5" t="s">
        <v>138</v>
      </c>
      <c r="D30" s="5" t="s">
        <v>264</v>
      </c>
      <c r="E30" s="5" t="s">
        <v>392</v>
      </c>
      <c r="F30" s="15">
        <v>82.95</v>
      </c>
      <c r="G30" s="15"/>
      <c r="H30" s="15">
        <f t="shared" si="10"/>
        <v>0</v>
      </c>
      <c r="I30" s="15">
        <f t="shared" si="11"/>
        <v>0</v>
      </c>
      <c r="J30" s="15">
        <f t="shared" si="12"/>
        <v>0</v>
      </c>
      <c r="K30" s="15">
        <v>0</v>
      </c>
      <c r="L30" s="15">
        <f t="shared" si="13"/>
        <v>0</v>
      </c>
      <c r="M30" s="27" t="s">
        <v>418</v>
      </c>
      <c r="N30" s="27" t="s">
        <v>7</v>
      </c>
      <c r="O30" s="15">
        <f t="shared" si="14"/>
        <v>0</v>
      </c>
      <c r="Z30" s="15">
        <f t="shared" si="15"/>
        <v>0</v>
      </c>
      <c r="AA30" s="15">
        <f t="shared" si="16"/>
        <v>0</v>
      </c>
      <c r="AB30" s="15">
        <f t="shared" si="17"/>
        <v>0</v>
      </c>
      <c r="AD30" s="32">
        <v>21</v>
      </c>
      <c r="AE30" s="32">
        <f>G30*0</f>
        <v>0</v>
      </c>
      <c r="AF30" s="32">
        <f>G30*(1-0)</f>
        <v>0</v>
      </c>
    </row>
    <row r="31" spans="1:32" ht="12.75">
      <c r="A31" s="5" t="s">
        <v>21</v>
      </c>
      <c r="B31" s="5" t="s">
        <v>122</v>
      </c>
      <c r="C31" s="5" t="s">
        <v>139</v>
      </c>
      <c r="D31" s="5" t="s">
        <v>265</v>
      </c>
      <c r="E31" s="5" t="s">
        <v>392</v>
      </c>
      <c r="F31" s="15">
        <v>118.5</v>
      </c>
      <c r="G31" s="15"/>
      <c r="H31" s="15">
        <f t="shared" si="10"/>
        <v>0</v>
      </c>
      <c r="I31" s="15">
        <f t="shared" si="11"/>
        <v>0</v>
      </c>
      <c r="J31" s="15">
        <f t="shared" si="12"/>
        <v>0</v>
      </c>
      <c r="K31" s="15">
        <v>0</v>
      </c>
      <c r="L31" s="15">
        <f t="shared" si="13"/>
        <v>0</v>
      </c>
      <c r="M31" s="27" t="s">
        <v>418</v>
      </c>
      <c r="N31" s="27" t="s">
        <v>7</v>
      </c>
      <c r="O31" s="15">
        <f t="shared" si="14"/>
        <v>0</v>
      </c>
      <c r="Z31" s="15">
        <f t="shared" si="15"/>
        <v>0</v>
      </c>
      <c r="AA31" s="15">
        <f t="shared" si="16"/>
        <v>0</v>
      </c>
      <c r="AB31" s="15">
        <f t="shared" si="17"/>
        <v>0</v>
      </c>
      <c r="AD31" s="32">
        <v>21</v>
      </c>
      <c r="AE31" s="32">
        <f>G31*0</f>
        <v>0</v>
      </c>
      <c r="AF31" s="32">
        <f>G31*(1-0)</f>
        <v>0</v>
      </c>
    </row>
    <row r="32" spans="1:32" ht="12.75">
      <c r="A32" s="5" t="s">
        <v>22</v>
      </c>
      <c r="B32" s="5" t="s">
        <v>122</v>
      </c>
      <c r="C32" s="5" t="s">
        <v>140</v>
      </c>
      <c r="D32" s="5" t="s">
        <v>266</v>
      </c>
      <c r="E32" s="5" t="s">
        <v>392</v>
      </c>
      <c r="F32" s="15">
        <v>118.5</v>
      </c>
      <c r="G32" s="15"/>
      <c r="H32" s="15">
        <f t="shared" si="10"/>
        <v>0</v>
      </c>
      <c r="I32" s="15">
        <f t="shared" si="11"/>
        <v>0</v>
      </c>
      <c r="J32" s="15">
        <f t="shared" si="12"/>
        <v>0</v>
      </c>
      <c r="K32" s="15">
        <v>0</v>
      </c>
      <c r="L32" s="15">
        <f t="shared" si="13"/>
        <v>0</v>
      </c>
      <c r="M32" s="27" t="s">
        <v>418</v>
      </c>
      <c r="N32" s="27" t="s">
        <v>7</v>
      </c>
      <c r="O32" s="15">
        <f t="shared" si="14"/>
        <v>0</v>
      </c>
      <c r="Z32" s="15">
        <f t="shared" si="15"/>
        <v>0</v>
      </c>
      <c r="AA32" s="15">
        <f t="shared" si="16"/>
        <v>0</v>
      </c>
      <c r="AB32" s="15">
        <f t="shared" si="17"/>
        <v>0</v>
      </c>
      <c r="AD32" s="32">
        <v>21</v>
      </c>
      <c r="AE32" s="32">
        <f>G32*0</f>
        <v>0</v>
      </c>
      <c r="AF32" s="32">
        <f>G32*(1-0)</f>
        <v>0</v>
      </c>
    </row>
    <row r="33" spans="1:32" ht="12.75">
      <c r="A33" s="5" t="s">
        <v>23</v>
      </c>
      <c r="B33" s="5" t="s">
        <v>122</v>
      </c>
      <c r="C33" s="5" t="s">
        <v>141</v>
      </c>
      <c r="D33" s="5" t="s">
        <v>267</v>
      </c>
      <c r="E33" s="5" t="s">
        <v>392</v>
      </c>
      <c r="F33" s="15">
        <v>35.55</v>
      </c>
      <c r="G33" s="15"/>
      <c r="H33" s="15">
        <f t="shared" si="10"/>
        <v>0</v>
      </c>
      <c r="I33" s="15">
        <f t="shared" si="11"/>
        <v>0</v>
      </c>
      <c r="J33" s="15">
        <f t="shared" si="12"/>
        <v>0</v>
      </c>
      <c r="K33" s="15">
        <v>0.01041</v>
      </c>
      <c r="L33" s="15">
        <f t="shared" si="13"/>
        <v>0.3700755</v>
      </c>
      <c r="M33" s="27" t="s">
        <v>418</v>
      </c>
      <c r="N33" s="27" t="s">
        <v>7</v>
      </c>
      <c r="O33" s="15">
        <f t="shared" si="14"/>
        <v>0</v>
      </c>
      <c r="Z33" s="15">
        <f t="shared" si="15"/>
        <v>0</v>
      </c>
      <c r="AA33" s="15">
        <f t="shared" si="16"/>
        <v>0</v>
      </c>
      <c r="AB33" s="15">
        <f t="shared" si="17"/>
        <v>0</v>
      </c>
      <c r="AD33" s="32">
        <v>21</v>
      </c>
      <c r="AE33" s="32">
        <f>G33*0.0359475083102589</f>
        <v>0</v>
      </c>
      <c r="AF33" s="32">
        <f>G33*(1-0.0359475083102589)</f>
        <v>0</v>
      </c>
    </row>
    <row r="34" spans="1:32" ht="12.75">
      <c r="A34" s="5" t="s">
        <v>24</v>
      </c>
      <c r="B34" s="5" t="s">
        <v>122</v>
      </c>
      <c r="C34" s="5" t="s">
        <v>142</v>
      </c>
      <c r="D34" s="5" t="s">
        <v>268</v>
      </c>
      <c r="E34" s="5" t="s">
        <v>392</v>
      </c>
      <c r="F34" s="15">
        <v>18.04</v>
      </c>
      <c r="G34" s="15"/>
      <c r="H34" s="15">
        <f t="shared" si="10"/>
        <v>0</v>
      </c>
      <c r="I34" s="15">
        <f t="shared" si="11"/>
        <v>0</v>
      </c>
      <c r="J34" s="15">
        <f t="shared" si="12"/>
        <v>0</v>
      </c>
      <c r="K34" s="15">
        <v>0</v>
      </c>
      <c r="L34" s="15">
        <f t="shared" si="13"/>
        <v>0</v>
      </c>
      <c r="M34" s="27" t="s">
        <v>418</v>
      </c>
      <c r="N34" s="27" t="s">
        <v>7</v>
      </c>
      <c r="O34" s="15">
        <f t="shared" si="14"/>
        <v>0</v>
      </c>
      <c r="Z34" s="15">
        <f t="shared" si="15"/>
        <v>0</v>
      </c>
      <c r="AA34" s="15">
        <f t="shared" si="16"/>
        <v>0</v>
      </c>
      <c r="AB34" s="15">
        <f t="shared" si="17"/>
        <v>0</v>
      </c>
      <c r="AD34" s="32">
        <v>21</v>
      </c>
      <c r="AE34" s="32">
        <f>G34*0</f>
        <v>0</v>
      </c>
      <c r="AF34" s="32">
        <f>G34*(1-0)</f>
        <v>0</v>
      </c>
    </row>
    <row r="35" spans="1:32" ht="12.75">
      <c r="A35" s="5" t="s">
        <v>25</v>
      </c>
      <c r="B35" s="5" t="s">
        <v>122</v>
      </c>
      <c r="C35" s="5" t="s">
        <v>143</v>
      </c>
      <c r="D35" s="5" t="s">
        <v>269</v>
      </c>
      <c r="E35" s="5" t="s">
        <v>392</v>
      </c>
      <c r="F35" s="15">
        <v>18.04</v>
      </c>
      <c r="G35" s="15"/>
      <c r="H35" s="15">
        <f t="shared" si="10"/>
        <v>0</v>
      </c>
      <c r="I35" s="15">
        <f t="shared" si="11"/>
        <v>0</v>
      </c>
      <c r="J35" s="15">
        <f t="shared" si="12"/>
        <v>0</v>
      </c>
      <c r="K35" s="15">
        <v>0</v>
      </c>
      <c r="L35" s="15">
        <f t="shared" si="13"/>
        <v>0</v>
      </c>
      <c r="M35" s="27" t="s">
        <v>418</v>
      </c>
      <c r="N35" s="27" t="s">
        <v>7</v>
      </c>
      <c r="O35" s="15">
        <f t="shared" si="14"/>
        <v>0</v>
      </c>
      <c r="Z35" s="15">
        <f t="shared" si="15"/>
        <v>0</v>
      </c>
      <c r="AA35" s="15">
        <f t="shared" si="16"/>
        <v>0</v>
      </c>
      <c r="AB35" s="15">
        <f t="shared" si="17"/>
        <v>0</v>
      </c>
      <c r="AD35" s="32">
        <v>21</v>
      </c>
      <c r="AE35" s="32">
        <f>G35*0</f>
        <v>0</v>
      </c>
      <c r="AF35" s="32">
        <f>G35*(1-0)</f>
        <v>0</v>
      </c>
    </row>
    <row r="36" spans="1:32" ht="12.75">
      <c r="A36" s="5" t="s">
        <v>26</v>
      </c>
      <c r="B36" s="5" t="s">
        <v>122</v>
      </c>
      <c r="C36" s="5" t="s">
        <v>144</v>
      </c>
      <c r="D36" s="5" t="s">
        <v>270</v>
      </c>
      <c r="E36" s="5" t="s">
        <v>392</v>
      </c>
      <c r="F36" s="15">
        <v>25.78</v>
      </c>
      <c r="G36" s="15"/>
      <c r="H36" s="15">
        <f t="shared" si="10"/>
        <v>0</v>
      </c>
      <c r="I36" s="15">
        <f t="shared" si="11"/>
        <v>0</v>
      </c>
      <c r="J36" s="15">
        <f t="shared" si="12"/>
        <v>0</v>
      </c>
      <c r="K36" s="15">
        <v>0</v>
      </c>
      <c r="L36" s="15">
        <f t="shared" si="13"/>
        <v>0</v>
      </c>
      <c r="M36" s="27" t="s">
        <v>418</v>
      </c>
      <c r="N36" s="27" t="s">
        <v>7</v>
      </c>
      <c r="O36" s="15">
        <f t="shared" si="14"/>
        <v>0</v>
      </c>
      <c r="Z36" s="15">
        <f t="shared" si="15"/>
        <v>0</v>
      </c>
      <c r="AA36" s="15">
        <f t="shared" si="16"/>
        <v>0</v>
      </c>
      <c r="AB36" s="15">
        <f t="shared" si="17"/>
        <v>0</v>
      </c>
      <c r="AD36" s="32">
        <v>21</v>
      </c>
      <c r="AE36" s="32">
        <f>G36*0</f>
        <v>0</v>
      </c>
      <c r="AF36" s="32">
        <f>G36*(1-0)</f>
        <v>0</v>
      </c>
    </row>
    <row r="37" spans="1:32" ht="12.75">
      <c r="A37" s="5" t="s">
        <v>27</v>
      </c>
      <c r="B37" s="5" t="s">
        <v>122</v>
      </c>
      <c r="C37" s="5" t="s">
        <v>145</v>
      </c>
      <c r="D37" s="5" t="s">
        <v>271</v>
      </c>
      <c r="E37" s="5" t="s">
        <v>392</v>
      </c>
      <c r="F37" s="15">
        <v>25.78</v>
      </c>
      <c r="G37" s="15"/>
      <c r="H37" s="15">
        <f t="shared" si="10"/>
        <v>0</v>
      </c>
      <c r="I37" s="15">
        <f t="shared" si="11"/>
        <v>0</v>
      </c>
      <c r="J37" s="15">
        <f t="shared" si="12"/>
        <v>0</v>
      </c>
      <c r="K37" s="15">
        <v>0</v>
      </c>
      <c r="L37" s="15">
        <f t="shared" si="13"/>
        <v>0</v>
      </c>
      <c r="M37" s="27" t="s">
        <v>418</v>
      </c>
      <c r="N37" s="27" t="s">
        <v>7</v>
      </c>
      <c r="O37" s="15">
        <f t="shared" si="14"/>
        <v>0</v>
      </c>
      <c r="Z37" s="15">
        <f t="shared" si="15"/>
        <v>0</v>
      </c>
      <c r="AA37" s="15">
        <f t="shared" si="16"/>
        <v>0</v>
      </c>
      <c r="AB37" s="15">
        <f t="shared" si="17"/>
        <v>0</v>
      </c>
      <c r="AD37" s="32">
        <v>21</v>
      </c>
      <c r="AE37" s="32">
        <f>G37*0</f>
        <v>0</v>
      </c>
      <c r="AF37" s="32">
        <f>G37*(1-0)</f>
        <v>0</v>
      </c>
    </row>
    <row r="38" spans="1:32" ht="12.75">
      <c r="A38" s="5" t="s">
        <v>28</v>
      </c>
      <c r="B38" s="5" t="s">
        <v>122</v>
      </c>
      <c r="C38" s="5" t="s">
        <v>146</v>
      </c>
      <c r="D38" s="5" t="s">
        <v>272</v>
      </c>
      <c r="E38" s="5" t="s">
        <v>392</v>
      </c>
      <c r="F38" s="15">
        <v>7.73</v>
      </c>
      <c r="G38" s="15"/>
      <c r="H38" s="15">
        <f t="shared" si="10"/>
        <v>0</v>
      </c>
      <c r="I38" s="15">
        <f t="shared" si="11"/>
        <v>0</v>
      </c>
      <c r="J38" s="15">
        <f t="shared" si="12"/>
        <v>0</v>
      </c>
      <c r="K38" s="15">
        <v>0.00829</v>
      </c>
      <c r="L38" s="15">
        <f t="shared" si="13"/>
        <v>0.0640817</v>
      </c>
      <c r="M38" s="27" t="s">
        <v>418</v>
      </c>
      <c r="N38" s="27" t="s">
        <v>7</v>
      </c>
      <c r="O38" s="15">
        <f t="shared" si="14"/>
        <v>0</v>
      </c>
      <c r="Z38" s="15">
        <f t="shared" si="15"/>
        <v>0</v>
      </c>
      <c r="AA38" s="15">
        <f t="shared" si="16"/>
        <v>0</v>
      </c>
      <c r="AB38" s="15">
        <f t="shared" si="17"/>
        <v>0</v>
      </c>
      <c r="AD38" s="32">
        <v>21</v>
      </c>
      <c r="AE38" s="32">
        <f>G38*0.0390837282780411</f>
        <v>0</v>
      </c>
      <c r="AF38" s="32">
        <f>G38*(1-0.0390837282780411)</f>
        <v>0</v>
      </c>
    </row>
    <row r="39" spans="1:37" ht="12.75">
      <c r="A39" s="4"/>
      <c r="B39" s="12" t="s">
        <v>122</v>
      </c>
      <c r="C39" s="12" t="s">
        <v>21</v>
      </c>
      <c r="D39" s="57" t="s">
        <v>273</v>
      </c>
      <c r="E39" s="58"/>
      <c r="F39" s="58"/>
      <c r="G39" s="58"/>
      <c r="H39" s="34">
        <f>SUM(H40:H41)</f>
        <v>0</v>
      </c>
      <c r="I39" s="34">
        <f>SUM(I40:I41)</f>
        <v>0</v>
      </c>
      <c r="J39" s="34">
        <f>H39+I39</f>
        <v>0</v>
      </c>
      <c r="K39" s="24"/>
      <c r="L39" s="34">
        <f>SUM(L40:L41)</f>
        <v>0.409618</v>
      </c>
      <c r="M39" s="24"/>
      <c r="P39" s="34">
        <f>IF(Q39="PR",J39,SUM(O40:O41))</f>
        <v>0</v>
      </c>
      <c r="Q39" s="24" t="s">
        <v>421</v>
      </c>
      <c r="R39" s="34">
        <f>IF(Q39="HS",H39,0)</f>
        <v>0</v>
      </c>
      <c r="S39" s="34">
        <f>IF(Q39="HS",I39-P39,0)</f>
        <v>0</v>
      </c>
      <c r="T39" s="34">
        <f>IF(Q39="PS",H39,0)</f>
        <v>0</v>
      </c>
      <c r="U39" s="34">
        <f>IF(Q39="PS",I39-P39,0)</f>
        <v>0</v>
      </c>
      <c r="V39" s="34">
        <f>IF(Q39="MP",H39,0)</f>
        <v>0</v>
      </c>
      <c r="W39" s="34">
        <f>IF(Q39="MP",I39-P39,0)</f>
        <v>0</v>
      </c>
      <c r="X39" s="34">
        <f>IF(Q39="OM",H39,0)</f>
        <v>0</v>
      </c>
      <c r="Y39" s="24" t="s">
        <v>122</v>
      </c>
      <c r="AI39" s="34">
        <f>SUM(Z40:Z41)</f>
        <v>0</v>
      </c>
      <c r="AJ39" s="34">
        <f>SUM(AA40:AA41)</f>
        <v>0</v>
      </c>
      <c r="AK39" s="34">
        <f>SUM(AB40:AB41)</f>
        <v>0</v>
      </c>
    </row>
    <row r="40" spans="1:32" ht="12.75">
      <c r="A40" s="5" t="s">
        <v>29</v>
      </c>
      <c r="B40" s="5" t="s">
        <v>122</v>
      </c>
      <c r="C40" s="5" t="s">
        <v>147</v>
      </c>
      <c r="D40" s="5" t="s">
        <v>274</v>
      </c>
      <c r="E40" s="5" t="s">
        <v>390</v>
      </c>
      <c r="F40" s="15">
        <v>476.3</v>
      </c>
      <c r="G40" s="15"/>
      <c r="H40" s="15">
        <f>ROUND(F40*AE40,2)</f>
        <v>0</v>
      </c>
      <c r="I40" s="15">
        <f>J40-H40</f>
        <v>0</v>
      </c>
      <c r="J40" s="15">
        <f>ROUND(F40*G40,2)</f>
        <v>0</v>
      </c>
      <c r="K40" s="15">
        <v>0.00086</v>
      </c>
      <c r="L40" s="15">
        <f>F40*K40</f>
        <v>0.409618</v>
      </c>
      <c r="M40" s="27" t="s">
        <v>418</v>
      </c>
      <c r="N40" s="27" t="s">
        <v>7</v>
      </c>
      <c r="O40" s="15">
        <f>IF(N40="5",I40,0)</f>
        <v>0</v>
      </c>
      <c r="Z40" s="15">
        <f>IF(AD40=0,J40,0)</f>
        <v>0</v>
      </c>
      <c r="AA40" s="15">
        <f>IF(AD40=15,J40,0)</f>
        <v>0</v>
      </c>
      <c r="AB40" s="15">
        <f>IF(AD40=21,J40,0)</f>
        <v>0</v>
      </c>
      <c r="AD40" s="32">
        <v>21</v>
      </c>
      <c r="AE40" s="32">
        <f>G40*0.0808722741433022</f>
        <v>0</v>
      </c>
      <c r="AF40" s="32">
        <f>G40*(1-0.0808722741433022)</f>
        <v>0</v>
      </c>
    </row>
    <row r="41" spans="1:32" ht="12.75">
      <c r="A41" s="5" t="s">
        <v>30</v>
      </c>
      <c r="B41" s="5" t="s">
        <v>122</v>
      </c>
      <c r="C41" s="5" t="s">
        <v>148</v>
      </c>
      <c r="D41" s="5" t="s">
        <v>275</v>
      </c>
      <c r="E41" s="5" t="s">
        <v>390</v>
      </c>
      <c r="F41" s="15">
        <v>476.3</v>
      </c>
      <c r="G41" s="15"/>
      <c r="H41" s="15">
        <f>ROUND(F41*AE41,2)</f>
        <v>0</v>
      </c>
      <c r="I41" s="15">
        <f>J41-H41</f>
        <v>0</v>
      </c>
      <c r="J41" s="15">
        <f>ROUND(F41*G41,2)</f>
        <v>0</v>
      </c>
      <c r="K41" s="15">
        <v>0</v>
      </c>
      <c r="L41" s="15">
        <f>F41*K41</f>
        <v>0</v>
      </c>
      <c r="M41" s="27" t="s">
        <v>418</v>
      </c>
      <c r="N41" s="27" t="s">
        <v>7</v>
      </c>
      <c r="O41" s="15">
        <f>IF(N41="5",I41,0)</f>
        <v>0</v>
      </c>
      <c r="Z41" s="15">
        <f>IF(AD41=0,J41,0)</f>
        <v>0</v>
      </c>
      <c r="AA41" s="15">
        <f>IF(AD41=15,J41,0)</f>
        <v>0</v>
      </c>
      <c r="AB41" s="15">
        <f>IF(AD41=21,J41,0)</f>
        <v>0</v>
      </c>
      <c r="AD41" s="32">
        <v>21</v>
      </c>
      <c r="AE41" s="32">
        <f>G41*0</f>
        <v>0</v>
      </c>
      <c r="AF41" s="32">
        <f>G41*(1-0)</f>
        <v>0</v>
      </c>
    </row>
    <row r="42" spans="1:37" ht="12.75">
      <c r="A42" s="4"/>
      <c r="B42" s="12" t="s">
        <v>122</v>
      </c>
      <c r="C42" s="12" t="s">
        <v>22</v>
      </c>
      <c r="D42" s="57" t="s">
        <v>276</v>
      </c>
      <c r="E42" s="58"/>
      <c r="F42" s="58"/>
      <c r="G42" s="58"/>
      <c r="H42" s="34">
        <f>SUM(H43:H50)</f>
        <v>0</v>
      </c>
      <c r="I42" s="34">
        <f>SUM(I43:I50)</f>
        <v>0</v>
      </c>
      <c r="J42" s="34">
        <f>H42+I42</f>
        <v>0</v>
      </c>
      <c r="K42" s="24"/>
      <c r="L42" s="34">
        <f>SUM(L43:L50)</f>
        <v>0</v>
      </c>
      <c r="M42" s="24"/>
      <c r="P42" s="34">
        <f>IF(Q42="PR",J42,SUM(O43:O50))</f>
        <v>0</v>
      </c>
      <c r="Q42" s="24" t="s">
        <v>421</v>
      </c>
      <c r="R42" s="34">
        <f>IF(Q42="HS",H42,0)</f>
        <v>0</v>
      </c>
      <c r="S42" s="34">
        <f>IF(Q42="HS",I42-P42,0)</f>
        <v>0</v>
      </c>
      <c r="T42" s="34">
        <f>IF(Q42="PS",H42,0)</f>
        <v>0</v>
      </c>
      <c r="U42" s="34">
        <f>IF(Q42="PS",I42-P42,0)</f>
        <v>0</v>
      </c>
      <c r="V42" s="34">
        <f>IF(Q42="MP",H42,0)</f>
        <v>0</v>
      </c>
      <c r="W42" s="34">
        <f>IF(Q42="MP",I42-P42,0)</f>
        <v>0</v>
      </c>
      <c r="X42" s="34">
        <f>IF(Q42="OM",H42,0)</f>
        <v>0</v>
      </c>
      <c r="Y42" s="24" t="s">
        <v>122</v>
      </c>
      <c r="AI42" s="34">
        <f>SUM(Z43:Z50)</f>
        <v>0</v>
      </c>
      <c r="AJ42" s="34">
        <f>SUM(AA43:AA50)</f>
        <v>0</v>
      </c>
      <c r="AK42" s="34">
        <f>SUM(AB43:AB50)</f>
        <v>0</v>
      </c>
    </row>
    <row r="43" spans="1:32" ht="12.75">
      <c r="A43" s="5" t="s">
        <v>31</v>
      </c>
      <c r="B43" s="5" t="s">
        <v>122</v>
      </c>
      <c r="C43" s="5" t="s">
        <v>149</v>
      </c>
      <c r="D43" s="5" t="s">
        <v>277</v>
      </c>
      <c r="E43" s="5" t="s">
        <v>392</v>
      </c>
      <c r="F43" s="15">
        <v>100.73</v>
      </c>
      <c r="G43" s="15"/>
      <c r="H43" s="15">
        <f aca="true" t="shared" si="18" ref="H43:H50">ROUND(F43*AE43,2)</f>
        <v>0</v>
      </c>
      <c r="I43" s="15">
        <f aca="true" t="shared" si="19" ref="I43:I50">J43-H43</f>
        <v>0</v>
      </c>
      <c r="J43" s="15">
        <f aca="true" t="shared" si="20" ref="J43:J50">ROUND(F43*G43,2)</f>
        <v>0</v>
      </c>
      <c r="K43" s="15">
        <v>0</v>
      </c>
      <c r="L43" s="15">
        <f aca="true" t="shared" si="21" ref="L43:L50">F43*K43</f>
        <v>0</v>
      </c>
      <c r="M43" s="27" t="s">
        <v>418</v>
      </c>
      <c r="N43" s="27" t="s">
        <v>7</v>
      </c>
      <c r="O43" s="15">
        <f aca="true" t="shared" si="22" ref="O43:O50">IF(N43="5",I43,0)</f>
        <v>0</v>
      </c>
      <c r="Z43" s="15">
        <f aca="true" t="shared" si="23" ref="Z43:Z50">IF(AD43=0,J43,0)</f>
        <v>0</v>
      </c>
      <c r="AA43" s="15">
        <f aca="true" t="shared" si="24" ref="AA43:AA50">IF(AD43=15,J43,0)</f>
        <v>0</v>
      </c>
      <c r="AB43" s="15">
        <f aca="true" t="shared" si="25" ref="AB43:AB50">IF(AD43=21,J43,0)</f>
        <v>0</v>
      </c>
      <c r="AD43" s="32">
        <v>21</v>
      </c>
      <c r="AE43" s="32">
        <f aca="true" t="shared" si="26" ref="AE43:AE50">G43*0</f>
        <v>0</v>
      </c>
      <c r="AF43" s="32">
        <f aca="true" t="shared" si="27" ref="AF43:AF50">G43*(1-0)</f>
        <v>0</v>
      </c>
    </row>
    <row r="44" spans="1:32" ht="12.75">
      <c r="A44" s="5" t="s">
        <v>32</v>
      </c>
      <c r="B44" s="5" t="s">
        <v>122</v>
      </c>
      <c r="C44" s="5" t="s">
        <v>150</v>
      </c>
      <c r="D44" s="5" t="s">
        <v>278</v>
      </c>
      <c r="E44" s="5" t="s">
        <v>392</v>
      </c>
      <c r="F44" s="15">
        <v>17.78</v>
      </c>
      <c r="G44" s="15"/>
      <c r="H44" s="15">
        <f t="shared" si="18"/>
        <v>0</v>
      </c>
      <c r="I44" s="15">
        <f t="shared" si="19"/>
        <v>0</v>
      </c>
      <c r="J44" s="15">
        <f t="shared" si="20"/>
        <v>0</v>
      </c>
      <c r="K44" s="15">
        <v>0</v>
      </c>
      <c r="L44" s="15">
        <f t="shared" si="21"/>
        <v>0</v>
      </c>
      <c r="M44" s="27" t="s">
        <v>418</v>
      </c>
      <c r="N44" s="27" t="s">
        <v>7</v>
      </c>
      <c r="O44" s="15">
        <f t="shared" si="22"/>
        <v>0</v>
      </c>
      <c r="Z44" s="15">
        <f t="shared" si="23"/>
        <v>0</v>
      </c>
      <c r="AA44" s="15">
        <f t="shared" si="24"/>
        <v>0</v>
      </c>
      <c r="AB44" s="15">
        <f t="shared" si="25"/>
        <v>0</v>
      </c>
      <c r="AD44" s="32">
        <v>21</v>
      </c>
      <c r="AE44" s="32">
        <f t="shared" si="26"/>
        <v>0</v>
      </c>
      <c r="AF44" s="32">
        <f t="shared" si="27"/>
        <v>0</v>
      </c>
    </row>
    <row r="45" spans="1:32" ht="12.75">
      <c r="A45" s="5" t="s">
        <v>33</v>
      </c>
      <c r="B45" s="5" t="s">
        <v>122</v>
      </c>
      <c r="C45" s="5" t="s">
        <v>151</v>
      </c>
      <c r="D45" s="5" t="s">
        <v>279</v>
      </c>
      <c r="E45" s="5" t="s">
        <v>392</v>
      </c>
      <c r="F45" s="15">
        <v>61.06</v>
      </c>
      <c r="G45" s="15"/>
      <c r="H45" s="15">
        <f t="shared" si="18"/>
        <v>0</v>
      </c>
      <c r="I45" s="15">
        <f t="shared" si="19"/>
        <v>0</v>
      </c>
      <c r="J45" s="15">
        <f t="shared" si="20"/>
        <v>0</v>
      </c>
      <c r="K45" s="15">
        <v>0</v>
      </c>
      <c r="L45" s="15">
        <f t="shared" si="21"/>
        <v>0</v>
      </c>
      <c r="M45" s="27" t="s">
        <v>418</v>
      </c>
      <c r="N45" s="27" t="s">
        <v>7</v>
      </c>
      <c r="O45" s="15">
        <f t="shared" si="22"/>
        <v>0</v>
      </c>
      <c r="Z45" s="15">
        <f t="shared" si="23"/>
        <v>0</v>
      </c>
      <c r="AA45" s="15">
        <f t="shared" si="24"/>
        <v>0</v>
      </c>
      <c r="AB45" s="15">
        <f t="shared" si="25"/>
        <v>0</v>
      </c>
      <c r="AD45" s="32">
        <v>21</v>
      </c>
      <c r="AE45" s="32">
        <f t="shared" si="26"/>
        <v>0</v>
      </c>
      <c r="AF45" s="32">
        <f t="shared" si="27"/>
        <v>0</v>
      </c>
    </row>
    <row r="46" spans="1:32" ht="12.75">
      <c r="A46" s="5" t="s">
        <v>34</v>
      </c>
      <c r="B46" s="5" t="s">
        <v>122</v>
      </c>
      <c r="C46" s="5" t="s">
        <v>152</v>
      </c>
      <c r="D46" s="5" t="s">
        <v>280</v>
      </c>
      <c r="E46" s="5" t="s">
        <v>392</v>
      </c>
      <c r="F46" s="15">
        <v>10.77</v>
      </c>
      <c r="G46" s="15"/>
      <c r="H46" s="15">
        <f t="shared" si="18"/>
        <v>0</v>
      </c>
      <c r="I46" s="15">
        <f t="shared" si="19"/>
        <v>0</v>
      </c>
      <c r="J46" s="15">
        <f t="shared" si="20"/>
        <v>0</v>
      </c>
      <c r="K46" s="15">
        <v>0</v>
      </c>
      <c r="L46" s="15">
        <f t="shared" si="21"/>
        <v>0</v>
      </c>
      <c r="M46" s="27" t="s">
        <v>418</v>
      </c>
      <c r="N46" s="27" t="s">
        <v>7</v>
      </c>
      <c r="O46" s="15">
        <f t="shared" si="22"/>
        <v>0</v>
      </c>
      <c r="Z46" s="15">
        <f t="shared" si="23"/>
        <v>0</v>
      </c>
      <c r="AA46" s="15">
        <f t="shared" si="24"/>
        <v>0</v>
      </c>
      <c r="AB46" s="15">
        <f t="shared" si="25"/>
        <v>0</v>
      </c>
      <c r="AD46" s="32">
        <v>21</v>
      </c>
      <c r="AE46" s="32">
        <f t="shared" si="26"/>
        <v>0</v>
      </c>
      <c r="AF46" s="32">
        <f t="shared" si="27"/>
        <v>0</v>
      </c>
    </row>
    <row r="47" spans="1:32" ht="12.75">
      <c r="A47" s="5" t="s">
        <v>35</v>
      </c>
      <c r="B47" s="5" t="s">
        <v>122</v>
      </c>
      <c r="C47" s="5" t="s">
        <v>153</v>
      </c>
      <c r="D47" s="5" t="s">
        <v>281</v>
      </c>
      <c r="E47" s="5" t="s">
        <v>392</v>
      </c>
      <c r="F47" s="15">
        <v>63.81</v>
      </c>
      <c r="G47" s="15"/>
      <c r="H47" s="15">
        <f t="shared" si="18"/>
        <v>0</v>
      </c>
      <c r="I47" s="15">
        <f t="shared" si="19"/>
        <v>0</v>
      </c>
      <c r="J47" s="15">
        <f t="shared" si="20"/>
        <v>0</v>
      </c>
      <c r="K47" s="15">
        <v>0</v>
      </c>
      <c r="L47" s="15">
        <f t="shared" si="21"/>
        <v>0</v>
      </c>
      <c r="M47" s="27" t="s">
        <v>418</v>
      </c>
      <c r="N47" s="27" t="s">
        <v>7</v>
      </c>
      <c r="O47" s="15">
        <f t="shared" si="22"/>
        <v>0</v>
      </c>
      <c r="Z47" s="15">
        <f t="shared" si="23"/>
        <v>0</v>
      </c>
      <c r="AA47" s="15">
        <f t="shared" si="24"/>
        <v>0</v>
      </c>
      <c r="AB47" s="15">
        <f t="shared" si="25"/>
        <v>0</v>
      </c>
      <c r="AD47" s="32">
        <v>21</v>
      </c>
      <c r="AE47" s="32">
        <f t="shared" si="26"/>
        <v>0</v>
      </c>
      <c r="AF47" s="32">
        <f t="shared" si="27"/>
        <v>0</v>
      </c>
    </row>
    <row r="48" spans="1:32" ht="12.75">
      <c r="A48" s="5" t="s">
        <v>36</v>
      </c>
      <c r="B48" s="5" t="s">
        <v>122</v>
      </c>
      <c r="C48" s="5" t="s">
        <v>154</v>
      </c>
      <c r="D48" s="5" t="s">
        <v>282</v>
      </c>
      <c r="E48" s="5" t="s">
        <v>392</v>
      </c>
      <c r="F48" s="15">
        <v>11.26</v>
      </c>
      <c r="G48" s="15"/>
      <c r="H48" s="15">
        <f t="shared" si="18"/>
        <v>0</v>
      </c>
      <c r="I48" s="15">
        <f t="shared" si="19"/>
        <v>0</v>
      </c>
      <c r="J48" s="15">
        <f t="shared" si="20"/>
        <v>0</v>
      </c>
      <c r="K48" s="15">
        <v>0</v>
      </c>
      <c r="L48" s="15">
        <f t="shared" si="21"/>
        <v>0</v>
      </c>
      <c r="M48" s="27" t="s">
        <v>418</v>
      </c>
      <c r="N48" s="27" t="s">
        <v>7</v>
      </c>
      <c r="O48" s="15">
        <f t="shared" si="22"/>
        <v>0</v>
      </c>
      <c r="Z48" s="15">
        <f t="shared" si="23"/>
        <v>0</v>
      </c>
      <c r="AA48" s="15">
        <f t="shared" si="24"/>
        <v>0</v>
      </c>
      <c r="AB48" s="15">
        <f t="shared" si="25"/>
        <v>0</v>
      </c>
      <c r="AD48" s="32">
        <v>21</v>
      </c>
      <c r="AE48" s="32">
        <f t="shared" si="26"/>
        <v>0</v>
      </c>
      <c r="AF48" s="32">
        <f t="shared" si="27"/>
        <v>0</v>
      </c>
    </row>
    <row r="49" spans="1:32" ht="12.75">
      <c r="A49" s="5" t="s">
        <v>37</v>
      </c>
      <c r="B49" s="5" t="s">
        <v>122</v>
      </c>
      <c r="C49" s="5" t="s">
        <v>155</v>
      </c>
      <c r="D49" s="5" t="s">
        <v>283</v>
      </c>
      <c r="E49" s="5" t="s">
        <v>392</v>
      </c>
      <c r="F49" s="15">
        <v>63.81</v>
      </c>
      <c r="G49" s="15"/>
      <c r="H49" s="15">
        <f t="shared" si="18"/>
        <v>0</v>
      </c>
      <c r="I49" s="15">
        <f t="shared" si="19"/>
        <v>0</v>
      </c>
      <c r="J49" s="15">
        <f t="shared" si="20"/>
        <v>0</v>
      </c>
      <c r="K49" s="15">
        <v>0</v>
      </c>
      <c r="L49" s="15">
        <f t="shared" si="21"/>
        <v>0</v>
      </c>
      <c r="M49" s="27" t="s">
        <v>418</v>
      </c>
      <c r="N49" s="27" t="s">
        <v>7</v>
      </c>
      <c r="O49" s="15">
        <f t="shared" si="22"/>
        <v>0</v>
      </c>
      <c r="Z49" s="15">
        <f t="shared" si="23"/>
        <v>0</v>
      </c>
      <c r="AA49" s="15">
        <f t="shared" si="24"/>
        <v>0</v>
      </c>
      <c r="AB49" s="15">
        <f t="shared" si="25"/>
        <v>0</v>
      </c>
      <c r="AD49" s="32">
        <v>21</v>
      </c>
      <c r="AE49" s="32">
        <f t="shared" si="26"/>
        <v>0</v>
      </c>
      <c r="AF49" s="32">
        <f t="shared" si="27"/>
        <v>0</v>
      </c>
    </row>
    <row r="50" spans="1:32" ht="12.75">
      <c r="A50" s="5" t="s">
        <v>38</v>
      </c>
      <c r="B50" s="5" t="s">
        <v>122</v>
      </c>
      <c r="C50" s="5" t="s">
        <v>156</v>
      </c>
      <c r="D50" s="5" t="s">
        <v>284</v>
      </c>
      <c r="E50" s="5" t="s">
        <v>392</v>
      </c>
      <c r="F50" s="15">
        <v>11.26</v>
      </c>
      <c r="G50" s="15"/>
      <c r="H50" s="15">
        <f t="shared" si="18"/>
        <v>0</v>
      </c>
      <c r="I50" s="15">
        <f t="shared" si="19"/>
        <v>0</v>
      </c>
      <c r="J50" s="15">
        <f t="shared" si="20"/>
        <v>0</v>
      </c>
      <c r="K50" s="15">
        <v>0</v>
      </c>
      <c r="L50" s="15">
        <f t="shared" si="21"/>
        <v>0</v>
      </c>
      <c r="M50" s="27" t="s">
        <v>418</v>
      </c>
      <c r="N50" s="27" t="s">
        <v>7</v>
      </c>
      <c r="O50" s="15">
        <f t="shared" si="22"/>
        <v>0</v>
      </c>
      <c r="Z50" s="15">
        <f t="shared" si="23"/>
        <v>0</v>
      </c>
      <c r="AA50" s="15">
        <f t="shared" si="24"/>
        <v>0</v>
      </c>
      <c r="AB50" s="15">
        <f t="shared" si="25"/>
        <v>0</v>
      </c>
      <c r="AD50" s="32">
        <v>21</v>
      </c>
      <c r="AE50" s="32">
        <f t="shared" si="26"/>
        <v>0</v>
      </c>
      <c r="AF50" s="32">
        <f t="shared" si="27"/>
        <v>0</v>
      </c>
    </row>
    <row r="51" spans="1:37" ht="12.75">
      <c r="A51" s="4"/>
      <c r="B51" s="12" t="s">
        <v>122</v>
      </c>
      <c r="C51" s="12" t="s">
        <v>23</v>
      </c>
      <c r="D51" s="57" t="s">
        <v>285</v>
      </c>
      <c r="E51" s="58"/>
      <c r="F51" s="58"/>
      <c r="G51" s="58"/>
      <c r="H51" s="34">
        <f>SUM(H52:H54)</f>
        <v>0</v>
      </c>
      <c r="I51" s="34">
        <f>SUM(I52:I54)</f>
        <v>0</v>
      </c>
      <c r="J51" s="34">
        <f>H51+I51</f>
        <v>0</v>
      </c>
      <c r="K51" s="24"/>
      <c r="L51" s="34">
        <f>SUM(L52:L54)</f>
        <v>0</v>
      </c>
      <c r="M51" s="24"/>
      <c r="P51" s="34">
        <f>IF(Q51="PR",J51,SUM(O52:O54))</f>
        <v>0</v>
      </c>
      <c r="Q51" s="24" t="s">
        <v>421</v>
      </c>
      <c r="R51" s="34">
        <f>IF(Q51="HS",H51,0)</f>
        <v>0</v>
      </c>
      <c r="S51" s="34">
        <f>IF(Q51="HS",I51-P51,0)</f>
        <v>0</v>
      </c>
      <c r="T51" s="34">
        <f>IF(Q51="PS",H51,0)</f>
        <v>0</v>
      </c>
      <c r="U51" s="34">
        <f>IF(Q51="PS",I51-P51,0)</f>
        <v>0</v>
      </c>
      <c r="V51" s="34">
        <f>IF(Q51="MP",H51,0)</f>
        <v>0</v>
      </c>
      <c r="W51" s="34">
        <f>IF(Q51="MP",I51-P51,0)</f>
        <v>0</v>
      </c>
      <c r="X51" s="34">
        <f>IF(Q51="OM",H51,0)</f>
        <v>0</v>
      </c>
      <c r="Y51" s="24" t="s">
        <v>122</v>
      </c>
      <c r="AI51" s="34">
        <f>SUM(Z52:Z54)</f>
        <v>0</v>
      </c>
      <c r="AJ51" s="34">
        <f>SUM(AA52:AA54)</f>
        <v>0</v>
      </c>
      <c r="AK51" s="34">
        <f>SUM(AB52:AB54)</f>
        <v>0</v>
      </c>
    </row>
    <row r="52" spans="1:32" ht="12.75">
      <c r="A52" s="5" t="s">
        <v>39</v>
      </c>
      <c r="B52" s="5" t="s">
        <v>122</v>
      </c>
      <c r="C52" s="5" t="s">
        <v>157</v>
      </c>
      <c r="D52" s="5" t="s">
        <v>286</v>
      </c>
      <c r="E52" s="5" t="s">
        <v>392</v>
      </c>
      <c r="F52" s="15">
        <v>130.64</v>
      </c>
      <c r="G52" s="15"/>
      <c r="H52" s="15">
        <f>ROUND(F52*AE52,2)</f>
        <v>0</v>
      </c>
      <c r="I52" s="15">
        <f>J52-H52</f>
        <v>0</v>
      </c>
      <c r="J52" s="15">
        <f>ROUND(F52*G52,2)</f>
        <v>0</v>
      </c>
      <c r="K52" s="15">
        <v>0</v>
      </c>
      <c r="L52" s="15">
        <f>F52*K52</f>
        <v>0</v>
      </c>
      <c r="M52" s="27" t="s">
        <v>418</v>
      </c>
      <c r="N52" s="27" t="s">
        <v>7</v>
      </c>
      <c r="O52" s="15">
        <f>IF(N52="5",I52,0)</f>
        <v>0</v>
      </c>
      <c r="Z52" s="15">
        <f>IF(AD52=0,J52,0)</f>
        <v>0</v>
      </c>
      <c r="AA52" s="15">
        <f>IF(AD52=15,J52,0)</f>
        <v>0</v>
      </c>
      <c r="AB52" s="15">
        <f>IF(AD52=21,J52,0)</f>
        <v>0</v>
      </c>
      <c r="AD52" s="32">
        <v>21</v>
      </c>
      <c r="AE52" s="32">
        <f>G52*0</f>
        <v>0</v>
      </c>
      <c r="AF52" s="32">
        <f>G52*(1-0)</f>
        <v>0</v>
      </c>
    </row>
    <row r="53" spans="1:32" ht="12.75">
      <c r="A53" s="5" t="s">
        <v>40</v>
      </c>
      <c r="B53" s="5" t="s">
        <v>122</v>
      </c>
      <c r="C53" s="5" t="s">
        <v>158</v>
      </c>
      <c r="D53" s="5" t="s">
        <v>287</v>
      </c>
      <c r="E53" s="5" t="s">
        <v>392</v>
      </c>
      <c r="F53" s="15">
        <v>71.83</v>
      </c>
      <c r="G53" s="15"/>
      <c r="H53" s="15">
        <f>ROUND(F53*AE53,2)</f>
        <v>0</v>
      </c>
      <c r="I53" s="15">
        <f>J53-H53</f>
        <v>0</v>
      </c>
      <c r="J53" s="15">
        <f>ROUND(F53*G53,2)</f>
        <v>0</v>
      </c>
      <c r="K53" s="15">
        <v>0</v>
      </c>
      <c r="L53" s="15">
        <f>F53*K53</f>
        <v>0</v>
      </c>
      <c r="M53" s="27" t="s">
        <v>418</v>
      </c>
      <c r="N53" s="27" t="s">
        <v>7</v>
      </c>
      <c r="O53" s="15">
        <f>IF(N53="5",I53,0)</f>
        <v>0</v>
      </c>
      <c r="Z53" s="15">
        <f>IF(AD53=0,J53,0)</f>
        <v>0</v>
      </c>
      <c r="AA53" s="15">
        <f>IF(AD53=15,J53,0)</f>
        <v>0</v>
      </c>
      <c r="AB53" s="15">
        <f>IF(AD53=21,J53,0)</f>
        <v>0</v>
      </c>
      <c r="AD53" s="32">
        <v>21</v>
      </c>
      <c r="AE53" s="32">
        <f>G53*0</f>
        <v>0</v>
      </c>
      <c r="AF53" s="32">
        <f>G53*(1-0)</f>
        <v>0</v>
      </c>
    </row>
    <row r="54" spans="1:32" ht="12.75">
      <c r="A54" s="5" t="s">
        <v>41</v>
      </c>
      <c r="B54" s="5" t="s">
        <v>122</v>
      </c>
      <c r="C54" s="5" t="s">
        <v>159</v>
      </c>
      <c r="D54" s="5" t="s">
        <v>288</v>
      </c>
      <c r="E54" s="5" t="s">
        <v>392</v>
      </c>
      <c r="F54" s="15">
        <v>161.93</v>
      </c>
      <c r="G54" s="15"/>
      <c r="H54" s="15">
        <f>ROUND(F54*AE54,2)</f>
        <v>0</v>
      </c>
      <c r="I54" s="15">
        <f>J54-H54</f>
        <v>0</v>
      </c>
      <c r="J54" s="15">
        <f>ROUND(F54*G54,2)</f>
        <v>0</v>
      </c>
      <c r="K54" s="15">
        <v>0</v>
      </c>
      <c r="L54" s="15">
        <f>F54*K54</f>
        <v>0</v>
      </c>
      <c r="M54" s="27" t="s">
        <v>418</v>
      </c>
      <c r="N54" s="27" t="s">
        <v>7</v>
      </c>
      <c r="O54" s="15">
        <f>IF(N54="5",I54,0)</f>
        <v>0</v>
      </c>
      <c r="Z54" s="15">
        <f>IF(AD54=0,J54,0)</f>
        <v>0</v>
      </c>
      <c r="AA54" s="15">
        <f>IF(AD54=15,J54,0)</f>
        <v>0</v>
      </c>
      <c r="AB54" s="15">
        <f>IF(AD54=21,J54,0)</f>
        <v>0</v>
      </c>
      <c r="AD54" s="32">
        <v>21</v>
      </c>
      <c r="AE54" s="32">
        <f>G54*0</f>
        <v>0</v>
      </c>
      <c r="AF54" s="32">
        <f>G54*(1-0)</f>
        <v>0</v>
      </c>
    </row>
    <row r="55" spans="1:37" ht="12.75">
      <c r="A55" s="4"/>
      <c r="B55" s="12" t="s">
        <v>122</v>
      </c>
      <c r="C55" s="12" t="s">
        <v>24</v>
      </c>
      <c r="D55" s="57" t="s">
        <v>289</v>
      </c>
      <c r="E55" s="58"/>
      <c r="F55" s="58"/>
      <c r="G55" s="58"/>
      <c r="H55" s="34">
        <f>SUM(H56:H56)</f>
        <v>0</v>
      </c>
      <c r="I55" s="34">
        <f>SUM(I56:I56)</f>
        <v>0</v>
      </c>
      <c r="J55" s="34">
        <f>H55+I55</f>
        <v>0</v>
      </c>
      <c r="K55" s="24"/>
      <c r="L55" s="34">
        <f>SUM(L56:L56)</f>
        <v>0.001353</v>
      </c>
      <c r="M55" s="24"/>
      <c r="P55" s="34">
        <f>IF(Q55="PR",J55,SUM(O56:O56))</f>
        <v>0</v>
      </c>
      <c r="Q55" s="24" t="s">
        <v>421</v>
      </c>
      <c r="R55" s="34">
        <f>IF(Q55="HS",H55,0)</f>
        <v>0</v>
      </c>
      <c r="S55" s="34">
        <f>IF(Q55="HS",I55-P55,0)</f>
        <v>0</v>
      </c>
      <c r="T55" s="34">
        <f>IF(Q55="PS",H55,0)</f>
        <v>0</v>
      </c>
      <c r="U55" s="34">
        <f>IF(Q55="PS",I55-P55,0)</f>
        <v>0</v>
      </c>
      <c r="V55" s="34">
        <f>IF(Q55="MP",H55,0)</f>
        <v>0</v>
      </c>
      <c r="W55" s="34">
        <f>IF(Q55="MP",I55-P55,0)</f>
        <v>0</v>
      </c>
      <c r="X55" s="34">
        <f>IF(Q55="OM",H55,0)</f>
        <v>0</v>
      </c>
      <c r="Y55" s="24" t="s">
        <v>122</v>
      </c>
      <c r="AI55" s="34">
        <f>SUM(Z56:Z56)</f>
        <v>0</v>
      </c>
      <c r="AJ55" s="34">
        <f>SUM(AA56:AA56)</f>
        <v>0</v>
      </c>
      <c r="AK55" s="34">
        <f>SUM(AB56:AB56)</f>
        <v>0</v>
      </c>
    </row>
    <row r="56" spans="1:32" ht="12.75">
      <c r="A56" s="5" t="s">
        <v>42</v>
      </c>
      <c r="B56" s="5" t="s">
        <v>122</v>
      </c>
      <c r="C56" s="5" t="s">
        <v>160</v>
      </c>
      <c r="D56" s="5" t="s">
        <v>290</v>
      </c>
      <c r="E56" s="5" t="s">
        <v>390</v>
      </c>
      <c r="F56" s="15">
        <v>45.1</v>
      </c>
      <c r="G56" s="15"/>
      <c r="H56" s="15">
        <f>ROUND(F56*AE56,2)</f>
        <v>0</v>
      </c>
      <c r="I56" s="15">
        <f>J56-H56</f>
        <v>0</v>
      </c>
      <c r="J56" s="15">
        <f>ROUND(F56*G56,2)</f>
        <v>0</v>
      </c>
      <c r="K56" s="15">
        <v>3E-05</v>
      </c>
      <c r="L56" s="15">
        <f>F56*K56</f>
        <v>0.001353</v>
      </c>
      <c r="M56" s="27" t="s">
        <v>418</v>
      </c>
      <c r="N56" s="27" t="s">
        <v>9</v>
      </c>
      <c r="O56" s="15">
        <f>IF(N56="5",I56,0)</f>
        <v>0</v>
      </c>
      <c r="Z56" s="15">
        <f>IF(AD56=0,J56,0)</f>
        <v>0</v>
      </c>
      <c r="AA56" s="15">
        <f>IF(AD56=15,J56,0)</f>
        <v>0</v>
      </c>
      <c r="AB56" s="15">
        <f>IF(AD56=21,J56,0)</f>
        <v>0</v>
      </c>
      <c r="AD56" s="32">
        <v>21</v>
      </c>
      <c r="AE56" s="32">
        <f>G56*0.264088397790055</f>
        <v>0</v>
      </c>
      <c r="AF56" s="32">
        <f>G56*(1-0.264088397790055)</f>
        <v>0</v>
      </c>
    </row>
    <row r="57" spans="1:37" ht="12.75">
      <c r="A57" s="4"/>
      <c r="B57" s="12" t="s">
        <v>122</v>
      </c>
      <c r="C57" s="12" t="s">
        <v>27</v>
      </c>
      <c r="D57" s="57" t="s">
        <v>291</v>
      </c>
      <c r="E57" s="58"/>
      <c r="F57" s="58"/>
      <c r="G57" s="58"/>
      <c r="H57" s="34">
        <f>SUM(H58:H58)</f>
        <v>0</v>
      </c>
      <c r="I57" s="34">
        <f>SUM(I58:I58)</f>
        <v>0</v>
      </c>
      <c r="J57" s="34">
        <f>H57+I57</f>
        <v>0</v>
      </c>
      <c r="K57" s="24"/>
      <c r="L57" s="34">
        <f>SUM(L58:L58)</f>
        <v>22.283046</v>
      </c>
      <c r="M57" s="24"/>
      <c r="P57" s="34">
        <f>IF(Q57="PR",J57,SUM(O58:O58))</f>
        <v>0</v>
      </c>
      <c r="Q57" s="24" t="s">
        <v>421</v>
      </c>
      <c r="R57" s="34">
        <f>IF(Q57="HS",H57,0)</f>
        <v>0</v>
      </c>
      <c r="S57" s="34">
        <f>IF(Q57="HS",I57-P57,0)</f>
        <v>0</v>
      </c>
      <c r="T57" s="34">
        <f>IF(Q57="PS",H57,0)</f>
        <v>0</v>
      </c>
      <c r="U57" s="34">
        <f>IF(Q57="PS",I57-P57,0)</f>
        <v>0</v>
      </c>
      <c r="V57" s="34">
        <f>IF(Q57="MP",H57,0)</f>
        <v>0</v>
      </c>
      <c r="W57" s="34">
        <f>IF(Q57="MP",I57-P57,0)</f>
        <v>0</v>
      </c>
      <c r="X57" s="34">
        <f>IF(Q57="OM",H57,0)</f>
        <v>0</v>
      </c>
      <c r="Y57" s="24" t="s">
        <v>122</v>
      </c>
      <c r="AI57" s="34">
        <f>SUM(Z58:Z58)</f>
        <v>0</v>
      </c>
      <c r="AJ57" s="34">
        <f>SUM(AA58:AA58)</f>
        <v>0</v>
      </c>
      <c r="AK57" s="34">
        <f>SUM(AB58:AB58)</f>
        <v>0</v>
      </c>
    </row>
    <row r="58" spans="1:32" ht="12.75">
      <c r="A58" s="5" t="s">
        <v>43</v>
      </c>
      <c r="B58" s="5" t="s">
        <v>122</v>
      </c>
      <c r="C58" s="5" t="s">
        <v>161</v>
      </c>
      <c r="D58" s="5" t="s">
        <v>292</v>
      </c>
      <c r="E58" s="5" t="s">
        <v>387</v>
      </c>
      <c r="F58" s="15">
        <v>95.3</v>
      </c>
      <c r="G58" s="15"/>
      <c r="H58" s="15">
        <f>ROUND(F58*AE58,2)</f>
        <v>0</v>
      </c>
      <c r="I58" s="15">
        <f>J58-H58</f>
        <v>0</v>
      </c>
      <c r="J58" s="15">
        <f>ROUND(F58*G58,2)</f>
        <v>0</v>
      </c>
      <c r="K58" s="15">
        <v>0.23382</v>
      </c>
      <c r="L58" s="15">
        <f>F58*K58</f>
        <v>22.283046</v>
      </c>
      <c r="M58" s="27" t="s">
        <v>418</v>
      </c>
      <c r="N58" s="27" t="s">
        <v>7</v>
      </c>
      <c r="O58" s="15">
        <f>IF(N58="5",I58,0)</f>
        <v>0</v>
      </c>
      <c r="Z58" s="15">
        <f>IF(AD58=0,J58,0)</f>
        <v>0</v>
      </c>
      <c r="AA58" s="15">
        <f>IF(AD58=15,J58,0)</f>
        <v>0</v>
      </c>
      <c r="AB58" s="15">
        <f>IF(AD58=21,J58,0)</f>
        <v>0</v>
      </c>
      <c r="AD58" s="32">
        <v>21</v>
      </c>
      <c r="AE58" s="32">
        <f>G58*0.731263736263736</f>
        <v>0</v>
      </c>
      <c r="AF58" s="32">
        <f>G58*(1-0.731263736263736)</f>
        <v>0</v>
      </c>
    </row>
    <row r="59" spans="1:37" ht="12.75">
      <c r="A59" s="4"/>
      <c r="B59" s="12" t="s">
        <v>122</v>
      </c>
      <c r="C59" s="12" t="s">
        <v>51</v>
      </c>
      <c r="D59" s="57" t="s">
        <v>293</v>
      </c>
      <c r="E59" s="58"/>
      <c r="F59" s="58"/>
      <c r="G59" s="58"/>
      <c r="H59" s="34">
        <f>SUM(H60:H63)</f>
        <v>0</v>
      </c>
      <c r="I59" s="34">
        <f>SUM(I60:I63)</f>
        <v>0</v>
      </c>
      <c r="J59" s="34">
        <f>H59+I59</f>
        <v>0</v>
      </c>
      <c r="K59" s="24"/>
      <c r="L59" s="34">
        <f>SUM(L60:L63)</f>
        <v>14.812263700000003</v>
      </c>
      <c r="M59" s="24"/>
      <c r="P59" s="34">
        <f>IF(Q59="PR",J59,SUM(O60:O63))</f>
        <v>0</v>
      </c>
      <c r="Q59" s="24" t="s">
        <v>421</v>
      </c>
      <c r="R59" s="34">
        <f>IF(Q59="HS",H59,0)</f>
        <v>0</v>
      </c>
      <c r="S59" s="34">
        <f>IF(Q59="HS",I59-P59,0)</f>
        <v>0</v>
      </c>
      <c r="T59" s="34">
        <f>IF(Q59="PS",H59,0)</f>
        <v>0</v>
      </c>
      <c r="U59" s="34">
        <f>IF(Q59="PS",I59-P59,0)</f>
        <v>0</v>
      </c>
      <c r="V59" s="34">
        <f>IF(Q59="MP",H59,0)</f>
        <v>0</v>
      </c>
      <c r="W59" s="34">
        <f>IF(Q59="MP",I59-P59,0)</f>
        <v>0</v>
      </c>
      <c r="X59" s="34">
        <f>IF(Q59="OM",H59,0)</f>
        <v>0</v>
      </c>
      <c r="Y59" s="24" t="s">
        <v>122</v>
      </c>
      <c r="AI59" s="34">
        <f>SUM(Z60:Z63)</f>
        <v>0</v>
      </c>
      <c r="AJ59" s="34">
        <f>SUM(AA60:AA63)</f>
        <v>0</v>
      </c>
      <c r="AK59" s="34">
        <f>SUM(AB60:AB63)</f>
        <v>0</v>
      </c>
    </row>
    <row r="60" spans="1:32" ht="12.75">
      <c r="A60" s="5" t="s">
        <v>44</v>
      </c>
      <c r="B60" s="5" t="s">
        <v>122</v>
      </c>
      <c r="C60" s="5" t="s">
        <v>162</v>
      </c>
      <c r="D60" s="5" t="s">
        <v>294</v>
      </c>
      <c r="E60" s="5" t="s">
        <v>392</v>
      </c>
      <c r="F60" s="15">
        <v>12.13</v>
      </c>
      <c r="G60" s="15"/>
      <c r="H60" s="15">
        <f>ROUND(F60*AE60,2)</f>
        <v>0</v>
      </c>
      <c r="I60" s="15">
        <f>J60-H60</f>
        <v>0</v>
      </c>
      <c r="J60" s="15">
        <f>ROUND(F60*G60,2)</f>
        <v>0</v>
      </c>
      <c r="K60" s="15">
        <v>1.1322</v>
      </c>
      <c r="L60" s="15">
        <f>F60*K60</f>
        <v>13.733586000000003</v>
      </c>
      <c r="M60" s="27" t="s">
        <v>418</v>
      </c>
      <c r="N60" s="27" t="s">
        <v>7</v>
      </c>
      <c r="O60" s="15">
        <f>IF(N60="5",I60,0)</f>
        <v>0</v>
      </c>
      <c r="Z60" s="15">
        <f>IF(AD60=0,J60,0)</f>
        <v>0</v>
      </c>
      <c r="AA60" s="15">
        <f>IF(AD60=15,J60,0)</f>
        <v>0</v>
      </c>
      <c r="AB60" s="15">
        <f>IF(AD60=21,J60,0)</f>
        <v>0</v>
      </c>
      <c r="AD60" s="32">
        <v>21</v>
      </c>
      <c r="AE60" s="32">
        <f>G60*0.47563491304526</f>
        <v>0</v>
      </c>
      <c r="AF60" s="32">
        <f>G60*(1-0.47563491304526)</f>
        <v>0</v>
      </c>
    </row>
    <row r="61" spans="1:32" ht="12.75">
      <c r="A61" s="5" t="s">
        <v>45</v>
      </c>
      <c r="B61" s="5" t="s">
        <v>122</v>
      </c>
      <c r="C61" s="5" t="s">
        <v>163</v>
      </c>
      <c r="D61" s="5" t="s">
        <v>295</v>
      </c>
      <c r="E61" s="5" t="s">
        <v>392</v>
      </c>
      <c r="F61" s="15">
        <v>0.43</v>
      </c>
      <c r="G61" s="15"/>
      <c r="H61" s="15">
        <f>ROUND(F61*AE61,2)</f>
        <v>0</v>
      </c>
      <c r="I61" s="15">
        <f>J61-H61</f>
        <v>0</v>
      </c>
      <c r="J61" s="15">
        <f>ROUND(F61*G61,2)</f>
        <v>0</v>
      </c>
      <c r="K61" s="15">
        <v>2.5</v>
      </c>
      <c r="L61" s="15">
        <f>F61*K61</f>
        <v>1.075</v>
      </c>
      <c r="M61" s="27" t="s">
        <v>418</v>
      </c>
      <c r="N61" s="27" t="s">
        <v>7</v>
      </c>
      <c r="O61" s="15">
        <f>IF(N61="5",I61,0)</f>
        <v>0</v>
      </c>
      <c r="Z61" s="15">
        <f>IF(AD61=0,J61,0)</f>
        <v>0</v>
      </c>
      <c r="AA61" s="15">
        <f>IF(AD61=15,J61,0)</f>
        <v>0</v>
      </c>
      <c r="AB61" s="15">
        <f>IF(AD61=21,J61,0)</f>
        <v>0</v>
      </c>
      <c r="AD61" s="32">
        <v>21</v>
      </c>
      <c r="AE61" s="32">
        <f>G61*0.834749482401656</f>
        <v>0</v>
      </c>
      <c r="AF61" s="32">
        <f>G61*(1-0.834749482401656)</f>
        <v>0</v>
      </c>
    </row>
    <row r="62" spans="1:32" ht="12.75">
      <c r="A62" s="5" t="s">
        <v>46</v>
      </c>
      <c r="B62" s="5" t="s">
        <v>122</v>
      </c>
      <c r="C62" s="5" t="s">
        <v>164</v>
      </c>
      <c r="D62" s="5" t="s">
        <v>296</v>
      </c>
      <c r="E62" s="5" t="s">
        <v>390</v>
      </c>
      <c r="F62" s="15">
        <v>5.33</v>
      </c>
      <c r="G62" s="15"/>
      <c r="H62" s="15">
        <f>ROUND(F62*AE62,2)</f>
        <v>0</v>
      </c>
      <c r="I62" s="15">
        <f>J62-H62</f>
        <v>0</v>
      </c>
      <c r="J62" s="15">
        <f>ROUND(F62*G62,2)</f>
        <v>0</v>
      </c>
      <c r="K62" s="15">
        <v>0.00041</v>
      </c>
      <c r="L62" s="15">
        <f>F62*K62</f>
        <v>0.0021853</v>
      </c>
      <c r="M62" s="27" t="s">
        <v>418</v>
      </c>
      <c r="N62" s="27" t="s">
        <v>7</v>
      </c>
      <c r="O62" s="15">
        <f>IF(N62="5",I62,0)</f>
        <v>0</v>
      </c>
      <c r="Z62" s="15">
        <f>IF(AD62=0,J62,0)</f>
        <v>0</v>
      </c>
      <c r="AA62" s="15">
        <f>IF(AD62=15,J62,0)</f>
        <v>0</v>
      </c>
      <c r="AB62" s="15">
        <f>IF(AD62=21,J62,0)</f>
        <v>0</v>
      </c>
      <c r="AD62" s="32">
        <v>21</v>
      </c>
      <c r="AE62" s="32">
        <f>G62*0.188814649839149</f>
        <v>0</v>
      </c>
      <c r="AF62" s="32">
        <f>G62*(1-0.188814649839149)</f>
        <v>0</v>
      </c>
    </row>
    <row r="63" spans="1:32" ht="12.75">
      <c r="A63" s="5" t="s">
        <v>47</v>
      </c>
      <c r="B63" s="5" t="s">
        <v>122</v>
      </c>
      <c r="C63" s="5" t="s">
        <v>165</v>
      </c>
      <c r="D63" s="5" t="s">
        <v>297</v>
      </c>
      <c r="E63" s="5" t="s">
        <v>390</v>
      </c>
      <c r="F63" s="15">
        <v>5.33</v>
      </c>
      <c r="G63" s="15"/>
      <c r="H63" s="15">
        <f>ROUND(F63*AE63,2)</f>
        <v>0</v>
      </c>
      <c r="I63" s="15">
        <f>J63-H63</f>
        <v>0</v>
      </c>
      <c r="J63" s="15">
        <f>ROUND(F63*G63,2)</f>
        <v>0</v>
      </c>
      <c r="K63" s="15">
        <v>0.00028</v>
      </c>
      <c r="L63" s="15">
        <f>F63*K63</f>
        <v>0.0014923999999999998</v>
      </c>
      <c r="M63" s="27" t="s">
        <v>418</v>
      </c>
      <c r="N63" s="27" t="s">
        <v>7</v>
      </c>
      <c r="O63" s="15">
        <f>IF(N63="5",I63,0)</f>
        <v>0</v>
      </c>
      <c r="Z63" s="15">
        <f>IF(AD63=0,J63,0)</f>
        <v>0</v>
      </c>
      <c r="AA63" s="15">
        <f>IF(AD63=15,J63,0)</f>
        <v>0</v>
      </c>
      <c r="AB63" s="15">
        <f>IF(AD63=21,J63,0)</f>
        <v>0</v>
      </c>
      <c r="AD63" s="32">
        <v>21</v>
      </c>
      <c r="AE63" s="32">
        <f>G63*0.861623298293986</f>
        <v>0</v>
      </c>
      <c r="AF63" s="32">
        <f>G63*(1-0.861623298293986)</f>
        <v>0</v>
      </c>
    </row>
    <row r="64" spans="1:37" ht="12.75">
      <c r="A64" s="4"/>
      <c r="B64" s="12" t="s">
        <v>122</v>
      </c>
      <c r="C64" s="12" t="s">
        <v>62</v>
      </c>
      <c r="D64" s="57" t="s">
        <v>298</v>
      </c>
      <c r="E64" s="58"/>
      <c r="F64" s="58"/>
      <c r="G64" s="58"/>
      <c r="H64" s="34">
        <f>SUM(H65:H66)</f>
        <v>0</v>
      </c>
      <c r="I64" s="34">
        <f>SUM(I65:I66)</f>
        <v>0</v>
      </c>
      <c r="J64" s="34">
        <f>H64+I64</f>
        <v>0</v>
      </c>
      <c r="K64" s="24"/>
      <c r="L64" s="34">
        <f>SUM(L65:L66)</f>
        <v>23.744848</v>
      </c>
      <c r="M64" s="24"/>
      <c r="P64" s="34">
        <f>IF(Q64="PR",J64,SUM(O65:O66))</f>
        <v>0</v>
      </c>
      <c r="Q64" s="24" t="s">
        <v>421</v>
      </c>
      <c r="R64" s="34">
        <f>IF(Q64="HS",H64,0)</f>
        <v>0</v>
      </c>
      <c r="S64" s="34">
        <f>IF(Q64="HS",I64-P64,0)</f>
        <v>0</v>
      </c>
      <c r="T64" s="34">
        <f>IF(Q64="PS",H64,0)</f>
        <v>0</v>
      </c>
      <c r="U64" s="34">
        <f>IF(Q64="PS",I64-P64,0)</f>
        <v>0</v>
      </c>
      <c r="V64" s="34">
        <f>IF(Q64="MP",H64,0)</f>
        <v>0</v>
      </c>
      <c r="W64" s="34">
        <f>IF(Q64="MP",I64-P64,0)</f>
        <v>0</v>
      </c>
      <c r="X64" s="34">
        <f>IF(Q64="OM",H64,0)</f>
        <v>0</v>
      </c>
      <c r="Y64" s="24" t="s">
        <v>122</v>
      </c>
      <c r="AI64" s="34">
        <f>SUM(Z65:Z66)</f>
        <v>0</v>
      </c>
      <c r="AJ64" s="34">
        <f>SUM(AA65:AA66)</f>
        <v>0</v>
      </c>
      <c r="AK64" s="34">
        <f>SUM(AB65:AB66)</f>
        <v>0</v>
      </c>
    </row>
    <row r="65" spans="1:32" ht="12.75">
      <c r="A65" s="5" t="s">
        <v>48</v>
      </c>
      <c r="B65" s="5" t="s">
        <v>122</v>
      </c>
      <c r="C65" s="5" t="s">
        <v>166</v>
      </c>
      <c r="D65" s="5" t="s">
        <v>299</v>
      </c>
      <c r="E65" s="5" t="s">
        <v>390</v>
      </c>
      <c r="F65" s="15">
        <v>24.2</v>
      </c>
      <c r="G65" s="15"/>
      <c r="H65" s="15">
        <f>ROUND(F65*AE65,2)</f>
        <v>0</v>
      </c>
      <c r="I65" s="15">
        <f>J65-H65</f>
        <v>0</v>
      </c>
      <c r="J65" s="15">
        <f>ROUND(F65*G65,2)</f>
        <v>0</v>
      </c>
      <c r="K65" s="15">
        <v>0.50666</v>
      </c>
      <c r="L65" s="15">
        <f>F65*K65</f>
        <v>12.261172</v>
      </c>
      <c r="M65" s="27" t="s">
        <v>418</v>
      </c>
      <c r="N65" s="27" t="s">
        <v>7</v>
      </c>
      <c r="O65" s="15">
        <f>IF(N65="5",I65,0)</f>
        <v>0</v>
      </c>
      <c r="Z65" s="15">
        <f>IF(AD65=0,J65,0)</f>
        <v>0</v>
      </c>
      <c r="AA65" s="15">
        <f>IF(AD65=15,J65,0)</f>
        <v>0</v>
      </c>
      <c r="AB65" s="15">
        <f>IF(AD65=21,J65,0)</f>
        <v>0</v>
      </c>
      <c r="AD65" s="32">
        <v>21</v>
      </c>
      <c r="AE65" s="32">
        <f>G65*0.873559322033898</f>
        <v>0</v>
      </c>
      <c r="AF65" s="32">
        <f>G65*(1-0.873559322033898)</f>
        <v>0</v>
      </c>
    </row>
    <row r="66" spans="1:32" ht="12.75">
      <c r="A66" s="5" t="s">
        <v>49</v>
      </c>
      <c r="B66" s="5" t="s">
        <v>122</v>
      </c>
      <c r="C66" s="5" t="s">
        <v>167</v>
      </c>
      <c r="D66" s="5" t="s">
        <v>300</v>
      </c>
      <c r="E66" s="5" t="s">
        <v>390</v>
      </c>
      <c r="F66" s="15">
        <v>30.97</v>
      </c>
      <c r="G66" s="15"/>
      <c r="H66" s="15">
        <f>ROUND(F66*AE66,2)</f>
        <v>0</v>
      </c>
      <c r="I66" s="15">
        <f>J66-H66</f>
        <v>0</v>
      </c>
      <c r="J66" s="15">
        <f>ROUND(F66*G66,2)</f>
        <v>0</v>
      </c>
      <c r="K66" s="15">
        <v>0.3708</v>
      </c>
      <c r="L66" s="15">
        <f>F66*K66</f>
        <v>11.483676</v>
      </c>
      <c r="M66" s="27" t="s">
        <v>418</v>
      </c>
      <c r="N66" s="27" t="s">
        <v>7</v>
      </c>
      <c r="O66" s="15">
        <f>IF(N66="5",I66,0)</f>
        <v>0</v>
      </c>
      <c r="Z66" s="15">
        <f>IF(AD66=0,J66,0)</f>
        <v>0</v>
      </c>
      <c r="AA66" s="15">
        <f>IF(AD66=15,J66,0)</f>
        <v>0</v>
      </c>
      <c r="AB66" s="15">
        <f>IF(AD66=21,J66,0)</f>
        <v>0</v>
      </c>
      <c r="AD66" s="32">
        <v>21</v>
      </c>
      <c r="AE66" s="32">
        <f>G66*0.858317841248381</f>
        <v>0</v>
      </c>
      <c r="AF66" s="32">
        <f>G66*(1-0.858317841248381)</f>
        <v>0</v>
      </c>
    </row>
    <row r="67" spans="1:37" ht="12.75">
      <c r="A67" s="4"/>
      <c r="B67" s="12" t="s">
        <v>122</v>
      </c>
      <c r="C67" s="12" t="s">
        <v>63</v>
      </c>
      <c r="D67" s="57" t="s">
        <v>301</v>
      </c>
      <c r="E67" s="58"/>
      <c r="F67" s="58"/>
      <c r="G67" s="58"/>
      <c r="H67" s="34">
        <f>SUM(H68:H70)</f>
        <v>0</v>
      </c>
      <c r="I67" s="34">
        <f>SUM(I68:I70)</f>
        <v>0</v>
      </c>
      <c r="J67" s="34">
        <f>H67+I67</f>
        <v>0</v>
      </c>
      <c r="K67" s="24"/>
      <c r="L67" s="34">
        <f>SUM(L68:L70)</f>
        <v>13.428886199999999</v>
      </c>
      <c r="M67" s="24"/>
      <c r="P67" s="34">
        <f>IF(Q67="PR",J67,SUM(O68:O70))</f>
        <v>0</v>
      </c>
      <c r="Q67" s="24" t="s">
        <v>421</v>
      </c>
      <c r="R67" s="34">
        <f>IF(Q67="HS",H67,0)</f>
        <v>0</v>
      </c>
      <c r="S67" s="34">
        <f>IF(Q67="HS",I67-P67,0)</f>
        <v>0</v>
      </c>
      <c r="T67" s="34">
        <f>IF(Q67="PS",H67,0)</f>
        <v>0</v>
      </c>
      <c r="U67" s="34">
        <f>IF(Q67="PS",I67-P67,0)</f>
        <v>0</v>
      </c>
      <c r="V67" s="34">
        <f>IF(Q67="MP",H67,0)</f>
        <v>0</v>
      </c>
      <c r="W67" s="34">
        <f>IF(Q67="MP",I67-P67,0)</f>
        <v>0</v>
      </c>
      <c r="X67" s="34">
        <f>IF(Q67="OM",H67,0)</f>
        <v>0</v>
      </c>
      <c r="Y67" s="24" t="s">
        <v>122</v>
      </c>
      <c r="AI67" s="34">
        <f>SUM(Z68:Z70)</f>
        <v>0</v>
      </c>
      <c r="AJ67" s="34">
        <f>SUM(AA68:AA70)</f>
        <v>0</v>
      </c>
      <c r="AK67" s="34">
        <f>SUM(AB68:AB70)</f>
        <v>0</v>
      </c>
    </row>
    <row r="68" spans="1:32" ht="12.75">
      <c r="A68" s="5" t="s">
        <v>50</v>
      </c>
      <c r="B68" s="5" t="s">
        <v>122</v>
      </c>
      <c r="C68" s="5" t="s">
        <v>168</v>
      </c>
      <c r="D68" s="5" t="s">
        <v>302</v>
      </c>
      <c r="E68" s="5" t="s">
        <v>390</v>
      </c>
      <c r="F68" s="15">
        <v>24.2</v>
      </c>
      <c r="G68" s="15"/>
      <c r="H68" s="15">
        <f>ROUND(F68*AE68,2)</f>
        <v>0</v>
      </c>
      <c r="I68" s="15">
        <f>J68-H68</f>
        <v>0</v>
      </c>
      <c r="J68" s="15">
        <f>ROUND(F68*G68,2)</f>
        <v>0</v>
      </c>
      <c r="K68" s="15">
        <v>0.12966</v>
      </c>
      <c r="L68" s="15">
        <f>F68*K68</f>
        <v>3.137772</v>
      </c>
      <c r="M68" s="27" t="s">
        <v>418</v>
      </c>
      <c r="N68" s="27" t="s">
        <v>7</v>
      </c>
      <c r="O68" s="15">
        <f>IF(N68="5",I68,0)</f>
        <v>0</v>
      </c>
      <c r="Z68" s="15">
        <f>IF(AD68=0,J68,0)</f>
        <v>0</v>
      </c>
      <c r="AA68" s="15">
        <f>IF(AD68=15,J68,0)</f>
        <v>0</v>
      </c>
      <c r="AB68" s="15">
        <f>IF(AD68=21,J68,0)</f>
        <v>0</v>
      </c>
      <c r="AD68" s="32">
        <v>21</v>
      </c>
      <c r="AE68" s="32">
        <f>G68*0.879185667752443</f>
        <v>0</v>
      </c>
      <c r="AF68" s="32">
        <f>G68*(1-0.879185667752443)</f>
        <v>0</v>
      </c>
    </row>
    <row r="69" spans="1:32" ht="12.75">
      <c r="A69" s="5" t="s">
        <v>51</v>
      </c>
      <c r="B69" s="5" t="s">
        <v>122</v>
      </c>
      <c r="C69" s="5" t="s">
        <v>169</v>
      </c>
      <c r="D69" s="5" t="s">
        <v>303</v>
      </c>
      <c r="E69" s="5" t="s">
        <v>390</v>
      </c>
      <c r="F69" s="15">
        <v>55.17</v>
      </c>
      <c r="G69" s="15"/>
      <c r="H69" s="15">
        <f>ROUND(F69*AE69,2)</f>
        <v>0</v>
      </c>
      <c r="I69" s="15">
        <f>J69-H69</f>
        <v>0</v>
      </c>
      <c r="J69" s="15">
        <f>ROUND(F69*G69,2)</f>
        <v>0</v>
      </c>
      <c r="K69" s="15">
        <v>0.12966</v>
      </c>
      <c r="L69" s="15">
        <f>F69*K69</f>
        <v>7.1533422</v>
      </c>
      <c r="M69" s="27" t="s">
        <v>418</v>
      </c>
      <c r="N69" s="27" t="s">
        <v>7</v>
      </c>
      <c r="O69" s="15">
        <f>IF(N69="5",I69,0)</f>
        <v>0</v>
      </c>
      <c r="Z69" s="15">
        <f>IF(AD69=0,J69,0)</f>
        <v>0</v>
      </c>
      <c r="AA69" s="15">
        <f>IF(AD69=15,J69,0)</f>
        <v>0</v>
      </c>
      <c r="AB69" s="15">
        <f>IF(AD69=21,J69,0)</f>
        <v>0</v>
      </c>
      <c r="AD69" s="32">
        <v>21</v>
      </c>
      <c r="AE69" s="32">
        <f>G69*0.88244057052298</f>
        <v>0</v>
      </c>
      <c r="AF69" s="32">
        <f>G69*(1-0.88244057052298)</f>
        <v>0</v>
      </c>
    </row>
    <row r="70" spans="1:32" ht="12.75">
      <c r="A70" s="5" t="s">
        <v>52</v>
      </c>
      <c r="B70" s="5" t="s">
        <v>122</v>
      </c>
      <c r="C70" s="5" t="s">
        <v>169</v>
      </c>
      <c r="D70" s="5" t="s">
        <v>303</v>
      </c>
      <c r="E70" s="5" t="s">
        <v>390</v>
      </c>
      <c r="F70" s="15">
        <v>24.2</v>
      </c>
      <c r="G70" s="15"/>
      <c r="H70" s="15">
        <f>ROUND(F70*AE70,2)</f>
        <v>0</v>
      </c>
      <c r="I70" s="15">
        <f>J70-H70</f>
        <v>0</v>
      </c>
      <c r="J70" s="15">
        <f>ROUND(F70*G70,2)</f>
        <v>0</v>
      </c>
      <c r="K70" s="15">
        <v>0.12966</v>
      </c>
      <c r="L70" s="15">
        <f>F70*K70</f>
        <v>3.137772</v>
      </c>
      <c r="M70" s="27" t="s">
        <v>418</v>
      </c>
      <c r="N70" s="27" t="s">
        <v>7</v>
      </c>
      <c r="O70" s="15">
        <f>IF(N70="5",I70,0)</f>
        <v>0</v>
      </c>
      <c r="Z70" s="15">
        <f>IF(AD70=0,J70,0)</f>
        <v>0</v>
      </c>
      <c r="AA70" s="15">
        <f>IF(AD70=15,J70,0)</f>
        <v>0</v>
      </c>
      <c r="AB70" s="15">
        <f>IF(AD70=21,J70,0)</f>
        <v>0</v>
      </c>
      <c r="AD70" s="32">
        <v>21</v>
      </c>
      <c r="AE70" s="32">
        <f>G70*0.88244057052298</f>
        <v>0</v>
      </c>
      <c r="AF70" s="32">
        <f>G70*(1-0.88244057052298)</f>
        <v>0</v>
      </c>
    </row>
    <row r="71" spans="1:37" ht="12.75">
      <c r="A71" s="4"/>
      <c r="B71" s="12" t="s">
        <v>122</v>
      </c>
      <c r="C71" s="12" t="s">
        <v>65</v>
      </c>
      <c r="D71" s="57" t="s">
        <v>304</v>
      </c>
      <c r="E71" s="58"/>
      <c r="F71" s="58"/>
      <c r="G71" s="58"/>
      <c r="H71" s="34">
        <f>SUM(H72:H73)</f>
        <v>0</v>
      </c>
      <c r="I71" s="34">
        <f>SUM(I72:I73)</f>
        <v>0</v>
      </c>
      <c r="J71" s="34">
        <f>H71+I71</f>
        <v>0</v>
      </c>
      <c r="K71" s="24"/>
      <c r="L71" s="34">
        <f>SUM(L72:L73)</f>
        <v>0.168765</v>
      </c>
      <c r="M71" s="24"/>
      <c r="P71" s="34">
        <f>IF(Q71="PR",J71,SUM(O72:O73))</f>
        <v>0</v>
      </c>
      <c r="Q71" s="24" t="s">
        <v>421</v>
      </c>
      <c r="R71" s="34">
        <f>IF(Q71="HS",H71,0)</f>
        <v>0</v>
      </c>
      <c r="S71" s="34">
        <f>IF(Q71="HS",I71-P71,0)</f>
        <v>0</v>
      </c>
      <c r="T71" s="34">
        <f>IF(Q71="PS",H71,0)</f>
        <v>0</v>
      </c>
      <c r="U71" s="34">
        <f>IF(Q71="PS",I71-P71,0)</f>
        <v>0</v>
      </c>
      <c r="V71" s="34">
        <f>IF(Q71="MP",H71,0)</f>
        <v>0</v>
      </c>
      <c r="W71" s="34">
        <f>IF(Q71="MP",I71-P71,0)</f>
        <v>0</v>
      </c>
      <c r="X71" s="34">
        <f>IF(Q71="OM",H71,0)</f>
        <v>0</v>
      </c>
      <c r="Y71" s="24" t="s">
        <v>122</v>
      </c>
      <c r="AI71" s="34">
        <f>SUM(Z72:Z73)</f>
        <v>0</v>
      </c>
      <c r="AJ71" s="34">
        <f>SUM(AA72:AA73)</f>
        <v>0</v>
      </c>
      <c r="AK71" s="34">
        <f>SUM(AB72:AB73)</f>
        <v>0</v>
      </c>
    </row>
    <row r="72" spans="1:32" ht="12.75">
      <c r="A72" s="5" t="s">
        <v>53</v>
      </c>
      <c r="B72" s="5" t="s">
        <v>122</v>
      </c>
      <c r="C72" s="5" t="s">
        <v>170</v>
      </c>
      <c r="D72" s="5" t="s">
        <v>305</v>
      </c>
      <c r="E72" s="5" t="s">
        <v>387</v>
      </c>
      <c r="F72" s="15">
        <v>44</v>
      </c>
      <c r="G72" s="15"/>
      <c r="H72" s="15">
        <f>ROUND(F72*AE72,2)</f>
        <v>0</v>
      </c>
      <c r="I72" s="15">
        <f>J72-H72</f>
        <v>0</v>
      </c>
      <c r="J72" s="15">
        <f>ROUND(F72*G72,2)</f>
        <v>0</v>
      </c>
      <c r="K72" s="15">
        <v>0.00224</v>
      </c>
      <c r="L72" s="15">
        <f>F72*K72</f>
        <v>0.09856</v>
      </c>
      <c r="M72" s="27" t="s">
        <v>418</v>
      </c>
      <c r="N72" s="27" t="s">
        <v>7</v>
      </c>
      <c r="O72" s="15">
        <f>IF(N72="5",I72,0)</f>
        <v>0</v>
      </c>
      <c r="Z72" s="15">
        <f>IF(AD72=0,J72,0)</f>
        <v>0</v>
      </c>
      <c r="AA72" s="15">
        <f>IF(AD72=15,J72,0)</f>
        <v>0</v>
      </c>
      <c r="AB72" s="15">
        <f>IF(AD72=21,J72,0)</f>
        <v>0</v>
      </c>
      <c r="AD72" s="32">
        <v>21</v>
      </c>
      <c r="AE72" s="32">
        <f>G72*0.2926</f>
        <v>0</v>
      </c>
      <c r="AF72" s="32">
        <f>G72*(1-0.2926)</f>
        <v>0</v>
      </c>
    </row>
    <row r="73" spans="1:32" ht="12.75">
      <c r="A73" s="5" t="s">
        <v>54</v>
      </c>
      <c r="B73" s="5" t="s">
        <v>122</v>
      </c>
      <c r="C73" s="5" t="s">
        <v>171</v>
      </c>
      <c r="D73" s="5" t="s">
        <v>306</v>
      </c>
      <c r="E73" s="5" t="s">
        <v>390</v>
      </c>
      <c r="F73" s="15">
        <v>0.95</v>
      </c>
      <c r="G73" s="15"/>
      <c r="H73" s="15">
        <f>ROUND(F73*AE73,2)</f>
        <v>0</v>
      </c>
      <c r="I73" s="15">
        <f>J73-H73</f>
        <v>0</v>
      </c>
      <c r="J73" s="15">
        <f>ROUND(F73*G73,2)</f>
        <v>0</v>
      </c>
      <c r="K73" s="15">
        <v>0.0739</v>
      </c>
      <c r="L73" s="15">
        <f>F73*K73</f>
        <v>0.07020499999999999</v>
      </c>
      <c r="M73" s="27" t="s">
        <v>418</v>
      </c>
      <c r="N73" s="27" t="s">
        <v>7</v>
      </c>
      <c r="O73" s="15">
        <f>IF(N73="5",I73,0)</f>
        <v>0</v>
      </c>
      <c r="Z73" s="15">
        <f>IF(AD73=0,J73,0)</f>
        <v>0</v>
      </c>
      <c r="AA73" s="15">
        <f>IF(AD73=15,J73,0)</f>
        <v>0</v>
      </c>
      <c r="AB73" s="15">
        <f>IF(AD73=21,J73,0)</f>
        <v>0</v>
      </c>
      <c r="AD73" s="32">
        <v>21</v>
      </c>
      <c r="AE73" s="32">
        <f>G73*0.169659863945578</f>
        <v>0</v>
      </c>
      <c r="AF73" s="32">
        <f>G73*(1-0.169659863945578)</f>
        <v>0</v>
      </c>
    </row>
    <row r="74" spans="1:37" ht="12.75">
      <c r="A74" s="4"/>
      <c r="B74" s="12" t="s">
        <v>122</v>
      </c>
      <c r="C74" s="12" t="s">
        <v>172</v>
      </c>
      <c r="D74" s="57" t="s">
        <v>307</v>
      </c>
      <c r="E74" s="58"/>
      <c r="F74" s="58"/>
      <c r="G74" s="58"/>
      <c r="H74" s="34">
        <f>SUM(H75:H75)</f>
        <v>0</v>
      </c>
      <c r="I74" s="34">
        <f>SUM(I75:I75)</f>
        <v>0</v>
      </c>
      <c r="J74" s="34">
        <f>H74+I74</f>
        <v>0</v>
      </c>
      <c r="K74" s="24"/>
      <c r="L74" s="34">
        <f>SUM(L75:L75)</f>
        <v>0.21149999999999997</v>
      </c>
      <c r="M74" s="24"/>
      <c r="P74" s="34">
        <f>IF(Q74="PR",J74,SUM(O75:O75))</f>
        <v>0</v>
      </c>
      <c r="Q74" s="24" t="s">
        <v>422</v>
      </c>
      <c r="R74" s="34">
        <f>IF(Q74="HS",H74,0)</f>
        <v>0</v>
      </c>
      <c r="S74" s="34">
        <f>IF(Q74="HS",I74-P74,0)</f>
        <v>0</v>
      </c>
      <c r="T74" s="34">
        <f>IF(Q74="PS",H74,0)</f>
        <v>0</v>
      </c>
      <c r="U74" s="34">
        <f>IF(Q74="PS",I74-P74,0)</f>
        <v>0</v>
      </c>
      <c r="V74" s="34">
        <f>IF(Q74="MP",H74,0)</f>
        <v>0</v>
      </c>
      <c r="W74" s="34">
        <f>IF(Q74="MP",I74-P74,0)</f>
        <v>0</v>
      </c>
      <c r="X74" s="34">
        <f>IF(Q74="OM",H74,0)</f>
        <v>0</v>
      </c>
      <c r="Y74" s="24" t="s">
        <v>122</v>
      </c>
      <c r="AI74" s="34">
        <f>SUM(Z75:Z75)</f>
        <v>0</v>
      </c>
      <c r="AJ74" s="34">
        <f>SUM(AA75:AA75)</f>
        <v>0</v>
      </c>
      <c r="AK74" s="34">
        <f>SUM(AB75:AB75)</f>
        <v>0</v>
      </c>
    </row>
    <row r="75" spans="1:32" ht="12.75">
      <c r="A75" s="5" t="s">
        <v>55</v>
      </c>
      <c r="B75" s="5" t="s">
        <v>122</v>
      </c>
      <c r="C75" s="5" t="s">
        <v>173</v>
      </c>
      <c r="D75" s="5" t="s">
        <v>308</v>
      </c>
      <c r="E75" s="5" t="s">
        <v>391</v>
      </c>
      <c r="F75" s="15">
        <v>6</v>
      </c>
      <c r="G75" s="15"/>
      <c r="H75" s="15">
        <f>ROUND(F75*AE75,2)</f>
        <v>0</v>
      </c>
      <c r="I75" s="15">
        <f>J75-H75</f>
        <v>0</v>
      </c>
      <c r="J75" s="15">
        <f>ROUND(F75*G75,2)</f>
        <v>0</v>
      </c>
      <c r="K75" s="15">
        <v>0.03525</v>
      </c>
      <c r="L75" s="15">
        <f>F75*K75</f>
        <v>0.21149999999999997</v>
      </c>
      <c r="M75" s="27" t="s">
        <v>418</v>
      </c>
      <c r="N75" s="27" t="s">
        <v>7</v>
      </c>
      <c r="O75" s="15">
        <f>IF(N75="5",I75,0)</f>
        <v>0</v>
      </c>
      <c r="Z75" s="15">
        <f>IF(AD75=0,J75,0)</f>
        <v>0</v>
      </c>
      <c r="AA75" s="15">
        <f>IF(AD75=15,J75,0)</f>
        <v>0</v>
      </c>
      <c r="AB75" s="15">
        <f>IF(AD75=21,J75,0)</f>
        <v>0</v>
      </c>
      <c r="AD75" s="32">
        <v>21</v>
      </c>
      <c r="AE75" s="32">
        <f>G75*0</f>
        <v>0</v>
      </c>
      <c r="AF75" s="32">
        <f>G75*(1-0)</f>
        <v>0</v>
      </c>
    </row>
    <row r="76" spans="1:37" ht="12.75">
      <c r="A76" s="4"/>
      <c r="B76" s="12" t="s">
        <v>122</v>
      </c>
      <c r="C76" s="12" t="s">
        <v>93</v>
      </c>
      <c r="D76" s="57" t="s">
        <v>309</v>
      </c>
      <c r="E76" s="58"/>
      <c r="F76" s="58"/>
      <c r="G76" s="58"/>
      <c r="H76" s="34">
        <f>SUM(H77:H85)</f>
        <v>0</v>
      </c>
      <c r="I76" s="34">
        <f>SUM(I77:I85)</f>
        <v>0</v>
      </c>
      <c r="J76" s="34">
        <f>H76+I76</f>
        <v>0</v>
      </c>
      <c r="K76" s="24"/>
      <c r="L76" s="34">
        <f>SUM(L77:L85)</f>
        <v>0.018453000000000004</v>
      </c>
      <c r="M76" s="24"/>
      <c r="P76" s="34">
        <f>IF(Q76="PR",J76,SUM(O77:O85))</f>
        <v>0</v>
      </c>
      <c r="Q76" s="24" t="s">
        <v>421</v>
      </c>
      <c r="R76" s="34">
        <f>IF(Q76="HS",H76,0)</f>
        <v>0</v>
      </c>
      <c r="S76" s="34">
        <f>IF(Q76="HS",I76-P76,0)</f>
        <v>0</v>
      </c>
      <c r="T76" s="34">
        <f>IF(Q76="PS",H76,0)</f>
        <v>0</v>
      </c>
      <c r="U76" s="34">
        <f>IF(Q76="PS",I76-P76,0)</f>
        <v>0</v>
      </c>
      <c r="V76" s="34">
        <f>IF(Q76="MP",H76,0)</f>
        <v>0</v>
      </c>
      <c r="W76" s="34">
        <f>IF(Q76="MP",I76-P76,0)</f>
        <v>0</v>
      </c>
      <c r="X76" s="34">
        <f>IF(Q76="OM",H76,0)</f>
        <v>0</v>
      </c>
      <c r="Y76" s="24" t="s">
        <v>122</v>
      </c>
      <c r="AI76" s="34">
        <f>SUM(Z77:Z85)</f>
        <v>0</v>
      </c>
      <c r="AJ76" s="34">
        <f>SUM(AA77:AA85)</f>
        <v>0</v>
      </c>
      <c r="AK76" s="34">
        <f>SUM(AB77:AB85)</f>
        <v>0</v>
      </c>
    </row>
    <row r="77" spans="1:32" ht="12.75">
      <c r="A77" s="5" t="s">
        <v>56</v>
      </c>
      <c r="B77" s="5" t="s">
        <v>122</v>
      </c>
      <c r="C77" s="5" t="s">
        <v>174</v>
      </c>
      <c r="D77" s="5" t="s">
        <v>310</v>
      </c>
      <c r="E77" s="5" t="s">
        <v>387</v>
      </c>
      <c r="F77" s="15">
        <v>28</v>
      </c>
      <c r="G77" s="15"/>
      <c r="H77" s="15">
        <f aca="true" t="shared" si="28" ref="H77:H85">ROUND(F77*AE77,2)</f>
        <v>0</v>
      </c>
      <c r="I77" s="15">
        <f aca="true" t="shared" si="29" ref="I77:I85">J77-H77</f>
        <v>0</v>
      </c>
      <c r="J77" s="15">
        <f aca="true" t="shared" si="30" ref="J77:J85">ROUND(F77*G77,2)</f>
        <v>0</v>
      </c>
      <c r="K77" s="15">
        <v>0</v>
      </c>
      <c r="L77" s="15">
        <f aca="true" t="shared" si="31" ref="L77:L85">F77*K77</f>
        <v>0</v>
      </c>
      <c r="M77" s="27" t="s">
        <v>418</v>
      </c>
      <c r="N77" s="27" t="s">
        <v>7</v>
      </c>
      <c r="O77" s="15">
        <f aca="true" t="shared" si="32" ref="O77:O85">IF(N77="5",I77,0)</f>
        <v>0</v>
      </c>
      <c r="Z77" s="15">
        <f aca="true" t="shared" si="33" ref="Z77:Z85">IF(AD77=0,J77,0)</f>
        <v>0</v>
      </c>
      <c r="AA77" s="15">
        <f aca="true" t="shared" si="34" ref="AA77:AA85">IF(AD77=15,J77,0)</f>
        <v>0</v>
      </c>
      <c r="AB77" s="15">
        <f aca="true" t="shared" si="35" ref="AB77:AB85">IF(AD77=21,J77,0)</f>
        <v>0</v>
      </c>
      <c r="AD77" s="32">
        <v>21</v>
      </c>
      <c r="AE77" s="32">
        <f>G77*0.00463917525773196</f>
        <v>0</v>
      </c>
      <c r="AF77" s="32">
        <f>G77*(1-0.00463917525773196)</f>
        <v>0</v>
      </c>
    </row>
    <row r="78" spans="1:32" ht="12.75">
      <c r="A78" s="5" t="s">
        <v>57</v>
      </c>
      <c r="B78" s="5" t="s">
        <v>122</v>
      </c>
      <c r="C78" s="5" t="s">
        <v>175</v>
      </c>
      <c r="D78" s="5" t="s">
        <v>311</v>
      </c>
      <c r="E78" s="5" t="s">
        <v>387</v>
      </c>
      <c r="F78" s="15">
        <v>26.6</v>
      </c>
      <c r="G78" s="15"/>
      <c r="H78" s="15">
        <f t="shared" si="28"/>
        <v>0</v>
      </c>
      <c r="I78" s="15">
        <f t="shared" si="29"/>
        <v>0</v>
      </c>
      <c r="J78" s="15">
        <f t="shared" si="30"/>
        <v>0</v>
      </c>
      <c r="K78" s="15">
        <v>0.00011</v>
      </c>
      <c r="L78" s="15">
        <f t="shared" si="31"/>
        <v>0.002926</v>
      </c>
      <c r="M78" s="27" t="s">
        <v>418</v>
      </c>
      <c r="N78" s="27" t="s">
        <v>7</v>
      </c>
      <c r="O78" s="15">
        <f t="shared" si="32"/>
        <v>0</v>
      </c>
      <c r="Z78" s="15">
        <f t="shared" si="33"/>
        <v>0</v>
      </c>
      <c r="AA78" s="15">
        <f t="shared" si="34"/>
        <v>0</v>
      </c>
      <c r="AB78" s="15">
        <f t="shared" si="35"/>
        <v>0</v>
      </c>
      <c r="AD78" s="32">
        <v>21</v>
      </c>
      <c r="AE78" s="32">
        <f>G78*0.165951682095281</f>
        <v>0</v>
      </c>
      <c r="AF78" s="32">
        <f>G78*(1-0.165951682095281)</f>
        <v>0</v>
      </c>
    </row>
    <row r="79" spans="1:32" ht="12.75">
      <c r="A79" s="5" t="s">
        <v>58</v>
      </c>
      <c r="B79" s="5" t="s">
        <v>122</v>
      </c>
      <c r="C79" s="5" t="s">
        <v>176</v>
      </c>
      <c r="D79" s="5" t="s">
        <v>312</v>
      </c>
      <c r="E79" s="5" t="s">
        <v>387</v>
      </c>
      <c r="F79" s="15">
        <v>33.4</v>
      </c>
      <c r="G79" s="15"/>
      <c r="H79" s="15">
        <f t="shared" si="28"/>
        <v>0</v>
      </c>
      <c r="I79" s="15">
        <f t="shared" si="29"/>
        <v>0</v>
      </c>
      <c r="J79" s="15">
        <f t="shared" si="30"/>
        <v>0</v>
      </c>
      <c r="K79" s="15">
        <v>0.00016</v>
      </c>
      <c r="L79" s="15">
        <f t="shared" si="31"/>
        <v>0.005344</v>
      </c>
      <c r="M79" s="27" t="s">
        <v>418</v>
      </c>
      <c r="N79" s="27" t="s">
        <v>7</v>
      </c>
      <c r="O79" s="15">
        <f t="shared" si="32"/>
        <v>0</v>
      </c>
      <c r="Z79" s="15">
        <f t="shared" si="33"/>
        <v>0</v>
      </c>
      <c r="AA79" s="15">
        <f t="shared" si="34"/>
        <v>0</v>
      </c>
      <c r="AB79" s="15">
        <f t="shared" si="35"/>
        <v>0</v>
      </c>
      <c r="AD79" s="32">
        <v>21</v>
      </c>
      <c r="AE79" s="32">
        <f>G79*0.0762987012987013</f>
        <v>0</v>
      </c>
      <c r="AF79" s="32">
        <f>G79*(1-0.0762987012987013)</f>
        <v>0</v>
      </c>
    </row>
    <row r="80" spans="1:32" ht="12.75">
      <c r="A80" s="5" t="s">
        <v>59</v>
      </c>
      <c r="B80" s="5" t="s">
        <v>122</v>
      </c>
      <c r="C80" s="5" t="s">
        <v>177</v>
      </c>
      <c r="D80" s="5" t="s">
        <v>313</v>
      </c>
      <c r="E80" s="5" t="s">
        <v>387</v>
      </c>
      <c r="F80" s="15">
        <v>35.3</v>
      </c>
      <c r="G80" s="15"/>
      <c r="H80" s="15">
        <f t="shared" si="28"/>
        <v>0</v>
      </c>
      <c r="I80" s="15">
        <f t="shared" si="29"/>
        <v>0</v>
      </c>
      <c r="J80" s="15">
        <f t="shared" si="30"/>
        <v>0</v>
      </c>
      <c r="K80" s="15">
        <v>1E-05</v>
      </c>
      <c r="L80" s="15">
        <f t="shared" si="31"/>
        <v>0.000353</v>
      </c>
      <c r="M80" s="27" t="s">
        <v>418</v>
      </c>
      <c r="N80" s="27" t="s">
        <v>7</v>
      </c>
      <c r="O80" s="15">
        <f t="shared" si="32"/>
        <v>0</v>
      </c>
      <c r="Z80" s="15">
        <f t="shared" si="33"/>
        <v>0</v>
      </c>
      <c r="AA80" s="15">
        <f t="shared" si="34"/>
        <v>0</v>
      </c>
      <c r="AB80" s="15">
        <f t="shared" si="35"/>
        <v>0</v>
      </c>
      <c r="AD80" s="32">
        <v>21</v>
      </c>
      <c r="AE80" s="32">
        <f>G80*0.00542168674698795</f>
        <v>0</v>
      </c>
      <c r="AF80" s="32">
        <f>G80*(1-0.00542168674698795)</f>
        <v>0</v>
      </c>
    </row>
    <row r="81" spans="1:32" ht="12.75">
      <c r="A81" s="5" t="s">
        <v>60</v>
      </c>
      <c r="B81" s="5" t="s">
        <v>122</v>
      </c>
      <c r="C81" s="5" t="s">
        <v>178</v>
      </c>
      <c r="D81" s="5" t="s">
        <v>314</v>
      </c>
      <c r="E81" s="5" t="s">
        <v>391</v>
      </c>
      <c r="F81" s="15">
        <v>1</v>
      </c>
      <c r="G81" s="15"/>
      <c r="H81" s="15">
        <f t="shared" si="28"/>
        <v>0</v>
      </c>
      <c r="I81" s="15">
        <f t="shared" si="29"/>
        <v>0</v>
      </c>
      <c r="J81" s="15">
        <f t="shared" si="30"/>
        <v>0</v>
      </c>
      <c r="K81" s="15">
        <v>4E-05</v>
      </c>
      <c r="L81" s="15">
        <f t="shared" si="31"/>
        <v>4E-05</v>
      </c>
      <c r="M81" s="27" t="s">
        <v>418</v>
      </c>
      <c r="N81" s="27" t="s">
        <v>7</v>
      </c>
      <c r="O81" s="15">
        <f t="shared" si="32"/>
        <v>0</v>
      </c>
      <c r="Z81" s="15">
        <f t="shared" si="33"/>
        <v>0</v>
      </c>
      <c r="AA81" s="15">
        <f t="shared" si="34"/>
        <v>0</v>
      </c>
      <c r="AB81" s="15">
        <f t="shared" si="35"/>
        <v>0</v>
      </c>
      <c r="AD81" s="32">
        <v>21</v>
      </c>
      <c r="AE81" s="32">
        <f>G81*0.00814159292035398</f>
        <v>0</v>
      </c>
      <c r="AF81" s="32">
        <f>G81*(1-0.00814159292035398)</f>
        <v>0</v>
      </c>
    </row>
    <row r="82" spans="1:32" ht="12.75">
      <c r="A82" s="5" t="s">
        <v>61</v>
      </c>
      <c r="B82" s="5" t="s">
        <v>122</v>
      </c>
      <c r="C82" s="5" t="s">
        <v>179</v>
      </c>
      <c r="D82" s="5" t="s">
        <v>315</v>
      </c>
      <c r="E82" s="5" t="s">
        <v>391</v>
      </c>
      <c r="F82" s="15">
        <v>3</v>
      </c>
      <c r="G82" s="15"/>
      <c r="H82" s="15">
        <f t="shared" si="28"/>
        <v>0</v>
      </c>
      <c r="I82" s="15">
        <f t="shared" si="29"/>
        <v>0</v>
      </c>
      <c r="J82" s="15">
        <f t="shared" si="30"/>
        <v>0</v>
      </c>
      <c r="K82" s="15">
        <v>5E-05</v>
      </c>
      <c r="L82" s="15">
        <f t="shared" si="31"/>
        <v>0.00015000000000000001</v>
      </c>
      <c r="M82" s="27" t="s">
        <v>418</v>
      </c>
      <c r="N82" s="27" t="s">
        <v>7</v>
      </c>
      <c r="O82" s="15">
        <f t="shared" si="32"/>
        <v>0</v>
      </c>
      <c r="Z82" s="15">
        <f t="shared" si="33"/>
        <v>0</v>
      </c>
      <c r="AA82" s="15">
        <f t="shared" si="34"/>
        <v>0</v>
      </c>
      <c r="AB82" s="15">
        <f t="shared" si="35"/>
        <v>0</v>
      </c>
      <c r="AD82" s="32">
        <v>21</v>
      </c>
      <c r="AE82" s="32">
        <f>G82*0.00888</f>
        <v>0</v>
      </c>
      <c r="AF82" s="32">
        <f>G82*(1-0.00888)</f>
        <v>0</v>
      </c>
    </row>
    <row r="83" spans="1:32" ht="12.75">
      <c r="A83" s="5" t="s">
        <v>62</v>
      </c>
      <c r="B83" s="5" t="s">
        <v>122</v>
      </c>
      <c r="C83" s="5" t="s">
        <v>180</v>
      </c>
      <c r="D83" s="5" t="s">
        <v>316</v>
      </c>
      <c r="E83" s="5" t="s">
        <v>391</v>
      </c>
      <c r="F83" s="15">
        <v>4</v>
      </c>
      <c r="G83" s="15"/>
      <c r="H83" s="15">
        <f t="shared" si="28"/>
        <v>0</v>
      </c>
      <c r="I83" s="15">
        <f t="shared" si="29"/>
        <v>0</v>
      </c>
      <c r="J83" s="15">
        <f t="shared" si="30"/>
        <v>0</v>
      </c>
      <c r="K83" s="15">
        <v>8E-05</v>
      </c>
      <c r="L83" s="15">
        <f t="shared" si="31"/>
        <v>0.00032</v>
      </c>
      <c r="M83" s="27" t="s">
        <v>418</v>
      </c>
      <c r="N83" s="27" t="s">
        <v>7</v>
      </c>
      <c r="O83" s="15">
        <f t="shared" si="32"/>
        <v>0</v>
      </c>
      <c r="Z83" s="15">
        <f t="shared" si="33"/>
        <v>0</v>
      </c>
      <c r="AA83" s="15">
        <f t="shared" si="34"/>
        <v>0</v>
      </c>
      <c r="AB83" s="15">
        <f t="shared" si="35"/>
        <v>0</v>
      </c>
      <c r="AD83" s="32">
        <v>21</v>
      </c>
      <c r="AE83" s="32">
        <f>G83*0.01</f>
        <v>0</v>
      </c>
      <c r="AF83" s="32">
        <f>G83*(1-0.01)</f>
        <v>0</v>
      </c>
    </row>
    <row r="84" spans="1:32" ht="12.75">
      <c r="A84" s="5" t="s">
        <v>63</v>
      </c>
      <c r="B84" s="5" t="s">
        <v>122</v>
      </c>
      <c r="C84" s="5" t="s">
        <v>181</v>
      </c>
      <c r="D84" s="5" t="s">
        <v>317</v>
      </c>
      <c r="E84" s="5" t="s">
        <v>387</v>
      </c>
      <c r="F84" s="15">
        <v>32</v>
      </c>
      <c r="G84" s="15"/>
      <c r="H84" s="15">
        <f t="shared" si="28"/>
        <v>0</v>
      </c>
      <c r="I84" s="15">
        <f t="shared" si="29"/>
        <v>0</v>
      </c>
      <c r="J84" s="15">
        <f t="shared" si="30"/>
        <v>0</v>
      </c>
      <c r="K84" s="15">
        <v>1E-05</v>
      </c>
      <c r="L84" s="15">
        <f t="shared" si="31"/>
        <v>0.00032</v>
      </c>
      <c r="M84" s="27" t="s">
        <v>418</v>
      </c>
      <c r="N84" s="27" t="s">
        <v>7</v>
      </c>
      <c r="O84" s="15">
        <f t="shared" si="32"/>
        <v>0</v>
      </c>
      <c r="Z84" s="15">
        <f t="shared" si="33"/>
        <v>0</v>
      </c>
      <c r="AA84" s="15">
        <f t="shared" si="34"/>
        <v>0</v>
      </c>
      <c r="AB84" s="15">
        <f t="shared" si="35"/>
        <v>0</v>
      </c>
      <c r="AD84" s="32">
        <v>21</v>
      </c>
      <c r="AE84" s="32">
        <f>G84*0.0936225</f>
        <v>0</v>
      </c>
      <c r="AF84" s="32">
        <f>G84*(1-0.0936225)</f>
        <v>0</v>
      </c>
    </row>
    <row r="85" spans="1:32" ht="12.75">
      <c r="A85" s="5" t="s">
        <v>64</v>
      </c>
      <c r="B85" s="5" t="s">
        <v>122</v>
      </c>
      <c r="C85" s="5" t="s">
        <v>182</v>
      </c>
      <c r="D85" s="5" t="s">
        <v>318</v>
      </c>
      <c r="E85" s="5" t="s">
        <v>387</v>
      </c>
      <c r="F85" s="15">
        <v>90</v>
      </c>
      <c r="G85" s="15"/>
      <c r="H85" s="15">
        <f t="shared" si="28"/>
        <v>0</v>
      </c>
      <c r="I85" s="15">
        <f t="shared" si="29"/>
        <v>0</v>
      </c>
      <c r="J85" s="15">
        <f t="shared" si="30"/>
        <v>0</v>
      </c>
      <c r="K85" s="15">
        <v>0.0001</v>
      </c>
      <c r="L85" s="15">
        <f t="shared" si="31"/>
        <v>0.009000000000000001</v>
      </c>
      <c r="M85" s="27" t="s">
        <v>418</v>
      </c>
      <c r="N85" s="27" t="s">
        <v>7</v>
      </c>
      <c r="O85" s="15">
        <f t="shared" si="32"/>
        <v>0</v>
      </c>
      <c r="Z85" s="15">
        <f t="shared" si="33"/>
        <v>0</v>
      </c>
      <c r="AA85" s="15">
        <f t="shared" si="34"/>
        <v>0</v>
      </c>
      <c r="AB85" s="15">
        <f t="shared" si="35"/>
        <v>0</v>
      </c>
      <c r="AD85" s="32">
        <v>21</v>
      </c>
      <c r="AE85" s="32">
        <f>G85*0.162333333333333</f>
        <v>0</v>
      </c>
      <c r="AF85" s="32">
        <f>G85*(1-0.162333333333333)</f>
        <v>0</v>
      </c>
    </row>
    <row r="86" spans="1:37" ht="12.75">
      <c r="A86" s="4"/>
      <c r="B86" s="12" t="s">
        <v>122</v>
      </c>
      <c r="C86" s="12" t="s">
        <v>95</v>
      </c>
      <c r="D86" s="57" t="s">
        <v>319</v>
      </c>
      <c r="E86" s="58"/>
      <c r="F86" s="58"/>
      <c r="G86" s="58"/>
      <c r="H86" s="34">
        <f>SUM(H87:H104)</f>
        <v>0</v>
      </c>
      <c r="I86" s="34">
        <f>SUM(I87:I104)</f>
        <v>0</v>
      </c>
      <c r="J86" s="34">
        <f>H86+I86</f>
        <v>0</v>
      </c>
      <c r="K86" s="24"/>
      <c r="L86" s="34">
        <f>SUM(L87:L104)</f>
        <v>38.0733724</v>
      </c>
      <c r="M86" s="24"/>
      <c r="P86" s="34">
        <f>IF(Q86="PR",J86,SUM(O87:O104))</f>
        <v>0</v>
      </c>
      <c r="Q86" s="24" t="s">
        <v>421</v>
      </c>
      <c r="R86" s="34">
        <f>IF(Q86="HS",H86,0)</f>
        <v>0</v>
      </c>
      <c r="S86" s="34">
        <f>IF(Q86="HS",I86-P86,0)</f>
        <v>0</v>
      </c>
      <c r="T86" s="34">
        <f>IF(Q86="PS",H86,0)</f>
        <v>0</v>
      </c>
      <c r="U86" s="34">
        <f>IF(Q86="PS",I86-P86,0)</f>
        <v>0</v>
      </c>
      <c r="V86" s="34">
        <f>IF(Q86="MP",H86,0)</f>
        <v>0</v>
      </c>
      <c r="W86" s="34">
        <f>IF(Q86="MP",I86-P86,0)</f>
        <v>0</v>
      </c>
      <c r="X86" s="34">
        <f>IF(Q86="OM",H86,0)</f>
        <v>0</v>
      </c>
      <c r="Y86" s="24" t="s">
        <v>122</v>
      </c>
      <c r="AI86" s="34">
        <f>SUM(Z87:Z104)</f>
        <v>0</v>
      </c>
      <c r="AJ86" s="34">
        <f>SUM(AA87:AA104)</f>
        <v>0</v>
      </c>
      <c r="AK86" s="34">
        <f>SUM(AB87:AB104)</f>
        <v>0</v>
      </c>
    </row>
    <row r="87" spans="1:32" ht="12.75">
      <c r="A87" s="5" t="s">
        <v>65</v>
      </c>
      <c r="B87" s="5" t="s">
        <v>122</v>
      </c>
      <c r="C87" s="5" t="s">
        <v>183</v>
      </c>
      <c r="D87" s="5" t="s">
        <v>320</v>
      </c>
      <c r="E87" s="5" t="s">
        <v>393</v>
      </c>
      <c r="F87" s="15">
        <v>6</v>
      </c>
      <c r="G87" s="15"/>
      <c r="H87" s="15">
        <f aca="true" t="shared" si="36" ref="H87:H104">ROUND(F87*AE87,2)</f>
        <v>0</v>
      </c>
      <c r="I87" s="15">
        <f aca="true" t="shared" si="37" ref="I87:I104">J87-H87</f>
        <v>0</v>
      </c>
      <c r="J87" s="15">
        <f aca="true" t="shared" si="38" ref="J87:J104">ROUND(F87*G87,2)</f>
        <v>0</v>
      </c>
      <c r="K87" s="15">
        <v>0.00025</v>
      </c>
      <c r="L87" s="15">
        <f aca="true" t="shared" si="39" ref="L87:L104">F87*K87</f>
        <v>0.0015</v>
      </c>
      <c r="M87" s="27" t="s">
        <v>418</v>
      </c>
      <c r="N87" s="27" t="s">
        <v>7</v>
      </c>
      <c r="O87" s="15">
        <f aca="true" t="shared" si="40" ref="O87:O104">IF(N87="5",I87,0)</f>
        <v>0</v>
      </c>
      <c r="Z87" s="15">
        <f aca="true" t="shared" si="41" ref="Z87:Z104">IF(AD87=0,J87,0)</f>
        <v>0</v>
      </c>
      <c r="AA87" s="15">
        <f aca="true" t="shared" si="42" ref="AA87:AA104">IF(AD87=15,J87,0)</f>
        <v>0</v>
      </c>
      <c r="AB87" s="15">
        <f aca="true" t="shared" si="43" ref="AB87:AB104">IF(AD87=21,J87,0)</f>
        <v>0</v>
      </c>
      <c r="AD87" s="32">
        <v>21</v>
      </c>
      <c r="AE87" s="32">
        <f>G87*0.166407708168431</f>
        <v>0</v>
      </c>
      <c r="AF87" s="32">
        <f>G87*(1-0.166407708168431)</f>
        <v>0</v>
      </c>
    </row>
    <row r="88" spans="1:32" ht="12.75">
      <c r="A88" s="5" t="s">
        <v>66</v>
      </c>
      <c r="B88" s="5" t="s">
        <v>122</v>
      </c>
      <c r="C88" s="5" t="s">
        <v>184</v>
      </c>
      <c r="D88" s="5" t="s">
        <v>321</v>
      </c>
      <c r="E88" s="5" t="s">
        <v>391</v>
      </c>
      <c r="F88" s="15">
        <v>4</v>
      </c>
      <c r="G88" s="15"/>
      <c r="H88" s="15">
        <f t="shared" si="36"/>
        <v>0</v>
      </c>
      <c r="I88" s="15">
        <f t="shared" si="37"/>
        <v>0</v>
      </c>
      <c r="J88" s="15">
        <f t="shared" si="38"/>
        <v>0</v>
      </c>
      <c r="K88" s="15">
        <v>2.21711</v>
      </c>
      <c r="L88" s="15">
        <f t="shared" si="39"/>
        <v>8.86844</v>
      </c>
      <c r="M88" s="27" t="s">
        <v>418</v>
      </c>
      <c r="N88" s="27" t="s">
        <v>7</v>
      </c>
      <c r="O88" s="15">
        <f t="shared" si="40"/>
        <v>0</v>
      </c>
      <c r="Z88" s="15">
        <f t="shared" si="41"/>
        <v>0</v>
      </c>
      <c r="AA88" s="15">
        <f t="shared" si="42"/>
        <v>0</v>
      </c>
      <c r="AB88" s="15">
        <f t="shared" si="43"/>
        <v>0</v>
      </c>
      <c r="AD88" s="32">
        <v>21</v>
      </c>
      <c r="AE88" s="32">
        <f>G88*0.30792458374143</f>
        <v>0</v>
      </c>
      <c r="AF88" s="32">
        <f>G88*(1-0.30792458374143)</f>
        <v>0</v>
      </c>
    </row>
    <row r="89" spans="1:32" ht="12.75">
      <c r="A89" s="5" t="s">
        <v>67</v>
      </c>
      <c r="B89" s="5" t="s">
        <v>122</v>
      </c>
      <c r="C89" s="5" t="s">
        <v>185</v>
      </c>
      <c r="D89" s="5" t="s">
        <v>322</v>
      </c>
      <c r="E89" s="5" t="s">
        <v>391</v>
      </c>
      <c r="F89" s="15">
        <v>3</v>
      </c>
      <c r="G89" s="15"/>
      <c r="H89" s="15">
        <f t="shared" si="36"/>
        <v>0</v>
      </c>
      <c r="I89" s="15">
        <f t="shared" si="37"/>
        <v>0</v>
      </c>
      <c r="J89" s="15">
        <f t="shared" si="38"/>
        <v>0</v>
      </c>
      <c r="K89" s="15">
        <v>2.36097</v>
      </c>
      <c r="L89" s="15">
        <f t="shared" si="39"/>
        <v>7.08291</v>
      </c>
      <c r="M89" s="27" t="s">
        <v>418</v>
      </c>
      <c r="N89" s="27" t="s">
        <v>7</v>
      </c>
      <c r="O89" s="15">
        <f t="shared" si="40"/>
        <v>0</v>
      </c>
      <c r="Z89" s="15">
        <f t="shared" si="41"/>
        <v>0</v>
      </c>
      <c r="AA89" s="15">
        <f t="shared" si="42"/>
        <v>0</v>
      </c>
      <c r="AB89" s="15">
        <f t="shared" si="43"/>
        <v>0</v>
      </c>
      <c r="AD89" s="32">
        <v>21</v>
      </c>
      <c r="AE89" s="32">
        <f>G89*0.306670291025841</f>
        <v>0</v>
      </c>
      <c r="AF89" s="32">
        <f>G89*(1-0.306670291025841)</f>
        <v>0</v>
      </c>
    </row>
    <row r="90" spans="1:32" ht="12.75">
      <c r="A90" s="5" t="s">
        <v>68</v>
      </c>
      <c r="B90" s="5" t="s">
        <v>122</v>
      </c>
      <c r="C90" s="5" t="s">
        <v>186</v>
      </c>
      <c r="D90" s="5" t="s">
        <v>323</v>
      </c>
      <c r="E90" s="5" t="s">
        <v>391</v>
      </c>
      <c r="F90" s="15">
        <v>9</v>
      </c>
      <c r="G90" s="15"/>
      <c r="H90" s="15">
        <f t="shared" si="36"/>
        <v>0</v>
      </c>
      <c r="I90" s="15">
        <f t="shared" si="37"/>
        <v>0</v>
      </c>
      <c r="J90" s="15">
        <f t="shared" si="38"/>
        <v>0</v>
      </c>
      <c r="K90" s="15">
        <v>0.03682</v>
      </c>
      <c r="L90" s="15">
        <f t="shared" si="39"/>
        <v>0.33138</v>
      </c>
      <c r="M90" s="27" t="s">
        <v>418</v>
      </c>
      <c r="N90" s="27" t="s">
        <v>7</v>
      </c>
      <c r="O90" s="15">
        <f t="shared" si="40"/>
        <v>0</v>
      </c>
      <c r="Z90" s="15">
        <f t="shared" si="41"/>
        <v>0</v>
      </c>
      <c r="AA90" s="15">
        <f t="shared" si="42"/>
        <v>0</v>
      </c>
      <c r="AB90" s="15">
        <f t="shared" si="43"/>
        <v>0</v>
      </c>
      <c r="AD90" s="32">
        <v>21</v>
      </c>
      <c r="AE90" s="32">
        <f>G90*0.136232782369146</f>
        <v>0</v>
      </c>
      <c r="AF90" s="32">
        <f>G90*(1-0.136232782369146)</f>
        <v>0</v>
      </c>
    </row>
    <row r="91" spans="1:32" ht="12.75">
      <c r="A91" s="5" t="s">
        <v>69</v>
      </c>
      <c r="B91" s="5" t="s">
        <v>122</v>
      </c>
      <c r="C91" s="5" t="s">
        <v>187</v>
      </c>
      <c r="D91" s="5" t="s">
        <v>324</v>
      </c>
      <c r="E91" s="5" t="s">
        <v>391</v>
      </c>
      <c r="F91" s="15">
        <v>8</v>
      </c>
      <c r="G91" s="15"/>
      <c r="H91" s="15">
        <f t="shared" si="36"/>
        <v>0</v>
      </c>
      <c r="I91" s="15">
        <f t="shared" si="37"/>
        <v>0</v>
      </c>
      <c r="J91" s="15">
        <f t="shared" si="38"/>
        <v>0</v>
      </c>
      <c r="K91" s="15">
        <v>0.00702</v>
      </c>
      <c r="L91" s="15">
        <f t="shared" si="39"/>
        <v>0.05616</v>
      </c>
      <c r="M91" s="27" t="s">
        <v>418</v>
      </c>
      <c r="N91" s="27" t="s">
        <v>7</v>
      </c>
      <c r="O91" s="15">
        <f t="shared" si="40"/>
        <v>0</v>
      </c>
      <c r="Z91" s="15">
        <f t="shared" si="41"/>
        <v>0</v>
      </c>
      <c r="AA91" s="15">
        <f t="shared" si="42"/>
        <v>0</v>
      </c>
      <c r="AB91" s="15">
        <f t="shared" si="43"/>
        <v>0</v>
      </c>
      <c r="AD91" s="32">
        <v>21</v>
      </c>
      <c r="AE91" s="32">
        <f>G91*0.0153786436479917</f>
        <v>0</v>
      </c>
      <c r="AF91" s="32">
        <f>G91*(1-0.0153786436479917)</f>
        <v>0</v>
      </c>
    </row>
    <row r="92" spans="1:32" ht="12.75">
      <c r="A92" s="5" t="s">
        <v>70</v>
      </c>
      <c r="B92" s="5" t="s">
        <v>122</v>
      </c>
      <c r="C92" s="5" t="s">
        <v>188</v>
      </c>
      <c r="D92" s="5" t="s">
        <v>325</v>
      </c>
      <c r="E92" s="5" t="s">
        <v>387</v>
      </c>
      <c r="F92" s="15">
        <v>95</v>
      </c>
      <c r="G92" s="15"/>
      <c r="H92" s="15">
        <f t="shared" si="36"/>
        <v>0</v>
      </c>
      <c r="I92" s="15">
        <f t="shared" si="37"/>
        <v>0</v>
      </c>
      <c r="J92" s="15">
        <f t="shared" si="38"/>
        <v>0</v>
      </c>
      <c r="K92" s="15">
        <v>0</v>
      </c>
      <c r="L92" s="15">
        <f t="shared" si="39"/>
        <v>0</v>
      </c>
      <c r="M92" s="27" t="s">
        <v>418</v>
      </c>
      <c r="N92" s="27" t="s">
        <v>7</v>
      </c>
      <c r="O92" s="15">
        <f t="shared" si="40"/>
        <v>0</v>
      </c>
      <c r="Z92" s="15">
        <f t="shared" si="41"/>
        <v>0</v>
      </c>
      <c r="AA92" s="15">
        <f t="shared" si="42"/>
        <v>0</v>
      </c>
      <c r="AB92" s="15">
        <f t="shared" si="43"/>
        <v>0</v>
      </c>
      <c r="AD92" s="32">
        <v>21</v>
      </c>
      <c r="AE92" s="32">
        <f>G92*0.00746666666666667</f>
        <v>0</v>
      </c>
      <c r="AF92" s="32">
        <f>G92*(1-0.00746666666666667)</f>
        <v>0</v>
      </c>
    </row>
    <row r="93" spans="1:32" ht="12.75">
      <c r="A93" s="5" t="s">
        <v>71</v>
      </c>
      <c r="B93" s="5" t="s">
        <v>122</v>
      </c>
      <c r="C93" s="5" t="s">
        <v>189</v>
      </c>
      <c r="D93" s="5" t="s">
        <v>326</v>
      </c>
      <c r="E93" s="5" t="s">
        <v>394</v>
      </c>
      <c r="F93" s="15">
        <v>1</v>
      </c>
      <c r="G93" s="15"/>
      <c r="H93" s="15">
        <f t="shared" si="36"/>
        <v>0</v>
      </c>
      <c r="I93" s="15">
        <f t="shared" si="37"/>
        <v>0</v>
      </c>
      <c r="J93" s="15">
        <f t="shared" si="38"/>
        <v>0</v>
      </c>
      <c r="K93" s="15">
        <v>0</v>
      </c>
      <c r="L93" s="15">
        <f t="shared" si="39"/>
        <v>0</v>
      </c>
      <c r="M93" s="27"/>
      <c r="N93" s="27" t="s">
        <v>7</v>
      </c>
      <c r="O93" s="15">
        <f t="shared" si="40"/>
        <v>0</v>
      </c>
      <c r="Z93" s="15">
        <f t="shared" si="41"/>
        <v>0</v>
      </c>
      <c r="AA93" s="15">
        <f t="shared" si="42"/>
        <v>0</v>
      </c>
      <c r="AB93" s="15">
        <f t="shared" si="43"/>
        <v>0</v>
      </c>
      <c r="AD93" s="32">
        <v>21</v>
      </c>
      <c r="AE93" s="32">
        <f>G93*0</f>
        <v>0</v>
      </c>
      <c r="AF93" s="32">
        <f>G93*(1-0)</f>
        <v>0</v>
      </c>
    </row>
    <row r="94" spans="1:32" ht="12.75">
      <c r="A94" s="5" t="s">
        <v>72</v>
      </c>
      <c r="B94" s="5" t="s">
        <v>122</v>
      </c>
      <c r="C94" s="5" t="s">
        <v>190</v>
      </c>
      <c r="D94" s="5" t="s">
        <v>327</v>
      </c>
      <c r="E94" s="5" t="s">
        <v>394</v>
      </c>
      <c r="F94" s="15">
        <v>1</v>
      </c>
      <c r="G94" s="15"/>
      <c r="H94" s="15">
        <f t="shared" si="36"/>
        <v>0</v>
      </c>
      <c r="I94" s="15">
        <f t="shared" si="37"/>
        <v>0</v>
      </c>
      <c r="J94" s="15">
        <f t="shared" si="38"/>
        <v>0</v>
      </c>
      <c r="K94" s="15">
        <v>0</v>
      </c>
      <c r="L94" s="15">
        <f t="shared" si="39"/>
        <v>0</v>
      </c>
      <c r="M94" s="27"/>
      <c r="N94" s="27" t="s">
        <v>7</v>
      </c>
      <c r="O94" s="15">
        <f t="shared" si="40"/>
        <v>0</v>
      </c>
      <c r="Z94" s="15">
        <f t="shared" si="41"/>
        <v>0</v>
      </c>
      <c r="AA94" s="15">
        <f t="shared" si="42"/>
        <v>0</v>
      </c>
      <c r="AB94" s="15">
        <f t="shared" si="43"/>
        <v>0</v>
      </c>
      <c r="AD94" s="32">
        <v>21</v>
      </c>
      <c r="AE94" s="32">
        <f>G94*0</f>
        <v>0</v>
      </c>
      <c r="AF94" s="32">
        <f>G94*(1-0)</f>
        <v>0</v>
      </c>
    </row>
    <row r="95" spans="1:32" ht="12.75">
      <c r="A95" s="5" t="s">
        <v>73</v>
      </c>
      <c r="B95" s="5" t="s">
        <v>122</v>
      </c>
      <c r="C95" s="5" t="s">
        <v>191</v>
      </c>
      <c r="D95" s="5" t="s">
        <v>328</v>
      </c>
      <c r="E95" s="5" t="s">
        <v>391</v>
      </c>
      <c r="F95" s="15">
        <v>1</v>
      </c>
      <c r="G95" s="15"/>
      <c r="H95" s="15">
        <f t="shared" si="36"/>
        <v>0</v>
      </c>
      <c r="I95" s="15">
        <f t="shared" si="37"/>
        <v>0</v>
      </c>
      <c r="J95" s="15">
        <f t="shared" si="38"/>
        <v>0</v>
      </c>
      <c r="K95" s="15">
        <v>0</v>
      </c>
      <c r="L95" s="15">
        <f t="shared" si="39"/>
        <v>0</v>
      </c>
      <c r="M95" s="27" t="s">
        <v>418</v>
      </c>
      <c r="N95" s="27" t="s">
        <v>7</v>
      </c>
      <c r="O95" s="15">
        <f t="shared" si="40"/>
        <v>0</v>
      </c>
      <c r="Z95" s="15">
        <f t="shared" si="41"/>
        <v>0</v>
      </c>
      <c r="AA95" s="15">
        <f t="shared" si="42"/>
        <v>0</v>
      </c>
      <c r="AB95" s="15">
        <f t="shared" si="43"/>
        <v>0</v>
      </c>
      <c r="AD95" s="32">
        <v>21</v>
      </c>
      <c r="AE95" s="32">
        <f>G95*0</f>
        <v>0</v>
      </c>
      <c r="AF95" s="32">
        <f>G95*(1-0)</f>
        <v>0</v>
      </c>
    </row>
    <row r="96" spans="1:32" ht="12.75">
      <c r="A96" s="5" t="s">
        <v>74</v>
      </c>
      <c r="B96" s="5" t="s">
        <v>122</v>
      </c>
      <c r="C96" s="5" t="s">
        <v>192</v>
      </c>
      <c r="D96" s="5" t="s">
        <v>329</v>
      </c>
      <c r="E96" s="5" t="s">
        <v>395</v>
      </c>
      <c r="F96" s="15">
        <v>0.38</v>
      </c>
      <c r="G96" s="15"/>
      <c r="H96" s="15">
        <f t="shared" si="36"/>
        <v>0</v>
      </c>
      <c r="I96" s="15">
        <f t="shared" si="37"/>
        <v>0</v>
      </c>
      <c r="J96" s="15">
        <f t="shared" si="38"/>
        <v>0</v>
      </c>
      <c r="K96" s="15">
        <v>1.00594</v>
      </c>
      <c r="L96" s="15">
        <f t="shared" si="39"/>
        <v>0.3822572</v>
      </c>
      <c r="M96" s="27" t="s">
        <v>418</v>
      </c>
      <c r="N96" s="27" t="s">
        <v>7</v>
      </c>
      <c r="O96" s="15">
        <f t="shared" si="40"/>
        <v>0</v>
      </c>
      <c r="Z96" s="15">
        <f t="shared" si="41"/>
        <v>0</v>
      </c>
      <c r="AA96" s="15">
        <f t="shared" si="42"/>
        <v>0</v>
      </c>
      <c r="AB96" s="15">
        <f t="shared" si="43"/>
        <v>0</v>
      </c>
      <c r="AD96" s="32">
        <v>21</v>
      </c>
      <c r="AE96" s="32">
        <f>G96*0.840424944320713</f>
        <v>0</v>
      </c>
      <c r="AF96" s="32">
        <f>G96*(1-0.840424944320713)</f>
        <v>0</v>
      </c>
    </row>
    <row r="97" spans="1:32" ht="12.75">
      <c r="A97" s="5" t="s">
        <v>75</v>
      </c>
      <c r="B97" s="5" t="s">
        <v>122</v>
      </c>
      <c r="C97" s="5" t="s">
        <v>193</v>
      </c>
      <c r="D97" s="5" t="s">
        <v>330</v>
      </c>
      <c r="E97" s="5" t="s">
        <v>392</v>
      </c>
      <c r="F97" s="15">
        <v>5.33</v>
      </c>
      <c r="G97" s="15"/>
      <c r="H97" s="15">
        <f t="shared" si="36"/>
        <v>0</v>
      </c>
      <c r="I97" s="15">
        <f t="shared" si="37"/>
        <v>0</v>
      </c>
      <c r="J97" s="15">
        <f t="shared" si="38"/>
        <v>0</v>
      </c>
      <c r="K97" s="15">
        <v>2.5511</v>
      </c>
      <c r="L97" s="15">
        <f t="shared" si="39"/>
        <v>13.597363</v>
      </c>
      <c r="M97" s="27" t="s">
        <v>418</v>
      </c>
      <c r="N97" s="27" t="s">
        <v>7</v>
      </c>
      <c r="O97" s="15">
        <f t="shared" si="40"/>
        <v>0</v>
      </c>
      <c r="Z97" s="15">
        <f t="shared" si="41"/>
        <v>0</v>
      </c>
      <c r="AA97" s="15">
        <f t="shared" si="42"/>
        <v>0</v>
      </c>
      <c r="AB97" s="15">
        <f t="shared" si="43"/>
        <v>0</v>
      </c>
      <c r="AD97" s="32">
        <v>21</v>
      </c>
      <c r="AE97" s="32">
        <f>G97*0.825257729888635</f>
        <v>0</v>
      </c>
      <c r="AF97" s="32">
        <f>G97*(1-0.825257729888635)</f>
        <v>0</v>
      </c>
    </row>
    <row r="98" spans="1:32" ht="12.75">
      <c r="A98" s="5" t="s">
        <v>76</v>
      </c>
      <c r="B98" s="5" t="s">
        <v>122</v>
      </c>
      <c r="C98" s="5" t="s">
        <v>194</v>
      </c>
      <c r="D98" s="5" t="s">
        <v>331</v>
      </c>
      <c r="E98" s="5" t="s">
        <v>392</v>
      </c>
      <c r="F98" s="15">
        <v>1.18</v>
      </c>
      <c r="G98" s="15"/>
      <c r="H98" s="15">
        <f t="shared" si="36"/>
        <v>0</v>
      </c>
      <c r="I98" s="15">
        <f t="shared" si="37"/>
        <v>0</v>
      </c>
      <c r="J98" s="15">
        <f t="shared" si="38"/>
        <v>0</v>
      </c>
      <c r="K98" s="15">
        <v>2.55</v>
      </c>
      <c r="L98" s="15">
        <f t="shared" si="39"/>
        <v>3.0089999999999995</v>
      </c>
      <c r="M98" s="27" t="s">
        <v>418</v>
      </c>
      <c r="N98" s="27" t="s">
        <v>7</v>
      </c>
      <c r="O98" s="15">
        <f t="shared" si="40"/>
        <v>0</v>
      </c>
      <c r="Z98" s="15">
        <f t="shared" si="41"/>
        <v>0</v>
      </c>
      <c r="AA98" s="15">
        <f t="shared" si="42"/>
        <v>0</v>
      </c>
      <c r="AB98" s="15">
        <f t="shared" si="43"/>
        <v>0</v>
      </c>
      <c r="AD98" s="32">
        <v>21</v>
      </c>
      <c r="AE98" s="32">
        <f>G98*0.769560606060606</f>
        <v>0</v>
      </c>
      <c r="AF98" s="32">
        <f>G98*(1-0.769560606060606)</f>
        <v>0</v>
      </c>
    </row>
    <row r="99" spans="1:32" ht="12.75">
      <c r="A99" s="5" t="s">
        <v>77</v>
      </c>
      <c r="B99" s="5" t="s">
        <v>122</v>
      </c>
      <c r="C99" s="5" t="s">
        <v>195</v>
      </c>
      <c r="D99" s="5" t="s">
        <v>332</v>
      </c>
      <c r="E99" s="5" t="s">
        <v>392</v>
      </c>
      <c r="F99" s="15">
        <v>1.18</v>
      </c>
      <c r="G99" s="15"/>
      <c r="H99" s="15">
        <f t="shared" si="36"/>
        <v>0</v>
      </c>
      <c r="I99" s="15">
        <f t="shared" si="37"/>
        <v>0</v>
      </c>
      <c r="J99" s="15">
        <f t="shared" si="38"/>
        <v>0</v>
      </c>
      <c r="K99" s="15">
        <v>2.55</v>
      </c>
      <c r="L99" s="15">
        <f t="shared" si="39"/>
        <v>3.0089999999999995</v>
      </c>
      <c r="M99" s="27" t="s">
        <v>418</v>
      </c>
      <c r="N99" s="27" t="s">
        <v>7</v>
      </c>
      <c r="O99" s="15">
        <f t="shared" si="40"/>
        <v>0</v>
      </c>
      <c r="Z99" s="15">
        <f t="shared" si="41"/>
        <v>0</v>
      </c>
      <c r="AA99" s="15">
        <f t="shared" si="42"/>
        <v>0</v>
      </c>
      <c r="AB99" s="15">
        <f t="shared" si="43"/>
        <v>0</v>
      </c>
      <c r="AD99" s="32">
        <v>21</v>
      </c>
      <c r="AE99" s="32">
        <f>G99*0.818670640834575</f>
        <v>0</v>
      </c>
      <c r="AF99" s="32">
        <f>G99*(1-0.818670640834575)</f>
        <v>0</v>
      </c>
    </row>
    <row r="100" spans="1:32" ht="12.75">
      <c r="A100" s="5" t="s">
        <v>78</v>
      </c>
      <c r="B100" s="5" t="s">
        <v>122</v>
      </c>
      <c r="C100" s="5" t="s">
        <v>196</v>
      </c>
      <c r="D100" s="5" t="s">
        <v>333</v>
      </c>
      <c r="E100" s="5" t="s">
        <v>390</v>
      </c>
      <c r="F100" s="15">
        <v>17.78</v>
      </c>
      <c r="G100" s="15"/>
      <c r="H100" s="15">
        <f t="shared" si="36"/>
        <v>0</v>
      </c>
      <c r="I100" s="15">
        <f t="shared" si="37"/>
        <v>0</v>
      </c>
      <c r="J100" s="15">
        <f t="shared" si="38"/>
        <v>0</v>
      </c>
      <c r="K100" s="15">
        <v>0.00465</v>
      </c>
      <c r="L100" s="15">
        <f t="shared" si="39"/>
        <v>0.082677</v>
      </c>
      <c r="M100" s="27" t="s">
        <v>418</v>
      </c>
      <c r="N100" s="27" t="s">
        <v>7</v>
      </c>
      <c r="O100" s="15">
        <f t="shared" si="40"/>
        <v>0</v>
      </c>
      <c r="Z100" s="15">
        <f t="shared" si="41"/>
        <v>0</v>
      </c>
      <c r="AA100" s="15">
        <f t="shared" si="42"/>
        <v>0</v>
      </c>
      <c r="AB100" s="15">
        <f t="shared" si="43"/>
        <v>0</v>
      </c>
      <c r="AD100" s="32">
        <v>21</v>
      </c>
      <c r="AE100" s="32">
        <f>G100*0.174509740154151</f>
        <v>0</v>
      </c>
      <c r="AF100" s="32">
        <f>G100*(1-0.174509740154151)</f>
        <v>0</v>
      </c>
    </row>
    <row r="101" spans="1:32" ht="12.75">
      <c r="A101" s="5" t="s">
        <v>79</v>
      </c>
      <c r="B101" s="5" t="s">
        <v>122</v>
      </c>
      <c r="C101" s="5" t="s">
        <v>197</v>
      </c>
      <c r="D101" s="5" t="s">
        <v>334</v>
      </c>
      <c r="E101" s="5" t="s">
        <v>391</v>
      </c>
      <c r="F101" s="15">
        <v>1</v>
      </c>
      <c r="G101" s="15"/>
      <c r="H101" s="15">
        <f t="shared" si="36"/>
        <v>0</v>
      </c>
      <c r="I101" s="15">
        <f t="shared" si="37"/>
        <v>0</v>
      </c>
      <c r="J101" s="15">
        <f t="shared" si="38"/>
        <v>0</v>
      </c>
      <c r="K101" s="15">
        <v>0.02111</v>
      </c>
      <c r="L101" s="15">
        <f t="shared" si="39"/>
        <v>0.02111</v>
      </c>
      <c r="M101" s="27" t="s">
        <v>418</v>
      </c>
      <c r="N101" s="27" t="s">
        <v>7</v>
      </c>
      <c r="O101" s="15">
        <f t="shared" si="40"/>
        <v>0</v>
      </c>
      <c r="Z101" s="15">
        <f t="shared" si="41"/>
        <v>0</v>
      </c>
      <c r="AA101" s="15">
        <f t="shared" si="42"/>
        <v>0</v>
      </c>
      <c r="AB101" s="15">
        <f t="shared" si="43"/>
        <v>0</v>
      </c>
      <c r="AD101" s="32">
        <v>21</v>
      </c>
      <c r="AE101" s="32">
        <f>G101*0.0432181429242248</f>
        <v>0</v>
      </c>
      <c r="AF101" s="32">
        <f>G101*(1-0.0432181429242248)</f>
        <v>0</v>
      </c>
    </row>
    <row r="102" spans="1:32" ht="12.75">
      <c r="A102" s="5" t="s">
        <v>80</v>
      </c>
      <c r="B102" s="5" t="s">
        <v>122</v>
      </c>
      <c r="C102" s="5" t="s">
        <v>198</v>
      </c>
      <c r="D102" s="5" t="s">
        <v>335</v>
      </c>
      <c r="E102" s="5" t="s">
        <v>391</v>
      </c>
      <c r="F102" s="15">
        <v>1</v>
      </c>
      <c r="G102" s="15"/>
      <c r="H102" s="15">
        <f t="shared" si="36"/>
        <v>0</v>
      </c>
      <c r="I102" s="15">
        <f t="shared" si="37"/>
        <v>0</v>
      </c>
      <c r="J102" s="15">
        <f t="shared" si="38"/>
        <v>0</v>
      </c>
      <c r="K102" s="15">
        <v>0.2761</v>
      </c>
      <c r="L102" s="15">
        <f t="shared" si="39"/>
        <v>0.2761</v>
      </c>
      <c r="M102" s="27" t="s">
        <v>418</v>
      </c>
      <c r="N102" s="27" t="s">
        <v>7</v>
      </c>
      <c r="O102" s="15">
        <f t="shared" si="40"/>
        <v>0</v>
      </c>
      <c r="Z102" s="15">
        <f t="shared" si="41"/>
        <v>0</v>
      </c>
      <c r="AA102" s="15">
        <f t="shared" si="42"/>
        <v>0</v>
      </c>
      <c r="AB102" s="15">
        <f t="shared" si="43"/>
        <v>0</v>
      </c>
      <c r="AD102" s="32">
        <v>21</v>
      </c>
      <c r="AE102" s="32">
        <f>G102*0.823706286117739</f>
        <v>0</v>
      </c>
      <c r="AF102" s="32">
        <f>G102*(1-0.823706286117739)</f>
        <v>0</v>
      </c>
    </row>
    <row r="103" spans="1:32" ht="12.75">
      <c r="A103" s="5" t="s">
        <v>81</v>
      </c>
      <c r="B103" s="5" t="s">
        <v>122</v>
      </c>
      <c r="C103" s="5" t="s">
        <v>199</v>
      </c>
      <c r="D103" s="5" t="s">
        <v>336</v>
      </c>
      <c r="E103" s="5" t="s">
        <v>395</v>
      </c>
      <c r="F103" s="15">
        <v>0.08</v>
      </c>
      <c r="G103" s="15"/>
      <c r="H103" s="15">
        <f t="shared" si="36"/>
        <v>0</v>
      </c>
      <c r="I103" s="15">
        <f t="shared" si="37"/>
        <v>0</v>
      </c>
      <c r="J103" s="15">
        <f t="shared" si="38"/>
        <v>0</v>
      </c>
      <c r="K103" s="15">
        <v>1.00594</v>
      </c>
      <c r="L103" s="15">
        <f t="shared" si="39"/>
        <v>0.08047520000000001</v>
      </c>
      <c r="M103" s="27" t="s">
        <v>418</v>
      </c>
      <c r="N103" s="27" t="s">
        <v>7</v>
      </c>
      <c r="O103" s="15">
        <f t="shared" si="40"/>
        <v>0</v>
      </c>
      <c r="Z103" s="15">
        <f t="shared" si="41"/>
        <v>0</v>
      </c>
      <c r="AA103" s="15">
        <f t="shared" si="42"/>
        <v>0</v>
      </c>
      <c r="AB103" s="15">
        <f t="shared" si="43"/>
        <v>0</v>
      </c>
      <c r="AD103" s="32">
        <v>21</v>
      </c>
      <c r="AE103" s="32">
        <f>G103*0.84294344585708</f>
        <v>0</v>
      </c>
      <c r="AF103" s="32">
        <f>G103*(1-0.84294344585708)</f>
        <v>0</v>
      </c>
    </row>
    <row r="104" spans="1:32" ht="12.75">
      <c r="A104" s="5" t="s">
        <v>82</v>
      </c>
      <c r="B104" s="5" t="s">
        <v>122</v>
      </c>
      <c r="C104" s="5" t="s">
        <v>200</v>
      </c>
      <c r="D104" s="5" t="s">
        <v>337</v>
      </c>
      <c r="E104" s="5" t="s">
        <v>392</v>
      </c>
      <c r="F104" s="15">
        <v>0.5</v>
      </c>
      <c r="G104" s="15"/>
      <c r="H104" s="15">
        <f t="shared" si="36"/>
        <v>0</v>
      </c>
      <c r="I104" s="15">
        <f t="shared" si="37"/>
        <v>0</v>
      </c>
      <c r="J104" s="15">
        <f t="shared" si="38"/>
        <v>0</v>
      </c>
      <c r="K104" s="15">
        <v>2.55</v>
      </c>
      <c r="L104" s="15">
        <f t="shared" si="39"/>
        <v>1.275</v>
      </c>
      <c r="M104" s="27" t="s">
        <v>418</v>
      </c>
      <c r="N104" s="27" t="s">
        <v>7</v>
      </c>
      <c r="O104" s="15">
        <f t="shared" si="40"/>
        <v>0</v>
      </c>
      <c r="Z104" s="15">
        <f t="shared" si="41"/>
        <v>0</v>
      </c>
      <c r="AA104" s="15">
        <f t="shared" si="42"/>
        <v>0</v>
      </c>
      <c r="AB104" s="15">
        <f t="shared" si="43"/>
        <v>0</v>
      </c>
      <c r="AD104" s="32">
        <v>21</v>
      </c>
      <c r="AE104" s="32">
        <f>G104*0.536149321266968</f>
        <v>0</v>
      </c>
      <c r="AF104" s="32">
        <f>G104*(1-0.536149321266968)</f>
        <v>0</v>
      </c>
    </row>
    <row r="105" spans="1:37" ht="12.75">
      <c r="A105" s="4"/>
      <c r="B105" s="12" t="s">
        <v>122</v>
      </c>
      <c r="C105" s="12" t="s">
        <v>97</v>
      </c>
      <c r="D105" s="57" t="s">
        <v>338</v>
      </c>
      <c r="E105" s="58"/>
      <c r="F105" s="58"/>
      <c r="G105" s="58"/>
      <c r="H105" s="34">
        <f>SUM(H106:H107)</f>
        <v>0</v>
      </c>
      <c r="I105" s="34">
        <f>SUM(I106:I107)</f>
        <v>0</v>
      </c>
      <c r="J105" s="34">
        <f>H105+I105</f>
        <v>0</v>
      </c>
      <c r="K105" s="24"/>
      <c r="L105" s="34">
        <f>SUM(L106:L107)</f>
        <v>0.13</v>
      </c>
      <c r="M105" s="24"/>
      <c r="P105" s="34">
        <f>IF(Q105="PR",J105,SUM(O106:O107))</f>
        <v>0</v>
      </c>
      <c r="Q105" s="24" t="s">
        <v>421</v>
      </c>
      <c r="R105" s="34">
        <f>IF(Q105="HS",H105,0)</f>
        <v>0</v>
      </c>
      <c r="S105" s="34">
        <f>IF(Q105="HS",I105-P105,0)</f>
        <v>0</v>
      </c>
      <c r="T105" s="34">
        <f>IF(Q105="PS",H105,0)</f>
        <v>0</v>
      </c>
      <c r="U105" s="34">
        <f>IF(Q105="PS",I105-P105,0)</f>
        <v>0</v>
      </c>
      <c r="V105" s="34">
        <f>IF(Q105="MP",H105,0)</f>
        <v>0</v>
      </c>
      <c r="W105" s="34">
        <f>IF(Q105="MP",I105-P105,0)</f>
        <v>0</v>
      </c>
      <c r="X105" s="34">
        <f>IF(Q105="OM",H105,0)</f>
        <v>0</v>
      </c>
      <c r="Y105" s="24" t="s">
        <v>122</v>
      </c>
      <c r="AI105" s="34">
        <f>SUM(Z106:Z107)</f>
        <v>0</v>
      </c>
      <c r="AJ105" s="34">
        <f>SUM(AA106:AA107)</f>
        <v>0</v>
      </c>
      <c r="AK105" s="34">
        <f>SUM(AB106:AB107)</f>
        <v>0</v>
      </c>
    </row>
    <row r="106" spans="1:32" ht="12.75">
      <c r="A106" s="5" t="s">
        <v>83</v>
      </c>
      <c r="B106" s="5" t="s">
        <v>122</v>
      </c>
      <c r="C106" s="5" t="s">
        <v>201</v>
      </c>
      <c r="D106" s="5" t="s">
        <v>339</v>
      </c>
      <c r="E106" s="5" t="s">
        <v>387</v>
      </c>
      <c r="F106" s="15">
        <v>44</v>
      </c>
      <c r="G106" s="15"/>
      <c r="H106" s="15">
        <f>ROUND(F106*AE106,2)</f>
        <v>0</v>
      </c>
      <c r="I106" s="15">
        <f>J106-H106</f>
        <v>0</v>
      </c>
      <c r="J106" s="15">
        <f>ROUND(F106*G106,2)</f>
        <v>0</v>
      </c>
      <c r="K106" s="15">
        <v>0</v>
      </c>
      <c r="L106" s="15">
        <f>F106*K106</f>
        <v>0</v>
      </c>
      <c r="M106" s="27" t="s">
        <v>418</v>
      </c>
      <c r="N106" s="27" t="s">
        <v>7</v>
      </c>
      <c r="O106" s="15">
        <f>IF(N106="5",I106,0)</f>
        <v>0</v>
      </c>
      <c r="Z106" s="15">
        <f>IF(AD106=0,J106,0)</f>
        <v>0</v>
      </c>
      <c r="AA106" s="15">
        <f>IF(AD106=15,J106,0)</f>
        <v>0</v>
      </c>
      <c r="AB106" s="15">
        <f>IF(AD106=21,J106,0)</f>
        <v>0</v>
      </c>
      <c r="AD106" s="32">
        <v>21</v>
      </c>
      <c r="AE106" s="32">
        <f>G106*0.633269230769231</f>
        <v>0</v>
      </c>
      <c r="AF106" s="32">
        <f>G106*(1-0.633269230769231)</f>
        <v>0</v>
      </c>
    </row>
    <row r="107" spans="1:32" ht="12.75">
      <c r="A107" s="5" t="s">
        <v>84</v>
      </c>
      <c r="B107" s="5" t="s">
        <v>122</v>
      </c>
      <c r="C107" s="5" t="s">
        <v>202</v>
      </c>
      <c r="D107" s="5" t="s">
        <v>340</v>
      </c>
      <c r="E107" s="5" t="s">
        <v>396</v>
      </c>
      <c r="F107" s="15">
        <v>1</v>
      </c>
      <c r="G107" s="15"/>
      <c r="H107" s="15">
        <f>ROUND(F107*AE107,2)</f>
        <v>0</v>
      </c>
      <c r="I107" s="15">
        <f>J107-H107</f>
        <v>0</v>
      </c>
      <c r="J107" s="15">
        <f>ROUND(F107*G107,2)</f>
        <v>0</v>
      </c>
      <c r="K107" s="15">
        <v>0.13</v>
      </c>
      <c r="L107" s="15">
        <f>F107*K107</f>
        <v>0.13</v>
      </c>
      <c r="M107" s="27" t="s">
        <v>418</v>
      </c>
      <c r="N107" s="27" t="s">
        <v>7</v>
      </c>
      <c r="O107" s="15">
        <f>IF(N107="5",I107,0)</f>
        <v>0</v>
      </c>
      <c r="Z107" s="15">
        <f>IF(AD107=0,J107,0)</f>
        <v>0</v>
      </c>
      <c r="AA107" s="15">
        <f>IF(AD107=15,J107,0)</f>
        <v>0</v>
      </c>
      <c r="AB107" s="15">
        <f>IF(AD107=21,J107,0)</f>
        <v>0</v>
      </c>
      <c r="AD107" s="32">
        <v>21</v>
      </c>
      <c r="AE107" s="32">
        <f>G107*0</f>
        <v>0</v>
      </c>
      <c r="AF107" s="32">
        <f>G107*(1-0)</f>
        <v>0</v>
      </c>
    </row>
    <row r="108" spans="1:37" ht="12.75">
      <c r="A108" s="4"/>
      <c r="B108" s="12" t="s">
        <v>122</v>
      </c>
      <c r="C108" s="12" t="s">
        <v>102</v>
      </c>
      <c r="D108" s="57" t="s">
        <v>341</v>
      </c>
      <c r="E108" s="58"/>
      <c r="F108" s="58"/>
      <c r="G108" s="58"/>
      <c r="H108" s="34">
        <f>SUM(H109:H109)</f>
        <v>0</v>
      </c>
      <c r="I108" s="34">
        <f>SUM(I109:I109)</f>
        <v>0</v>
      </c>
      <c r="J108" s="34">
        <f>H108+I108</f>
        <v>0</v>
      </c>
      <c r="K108" s="24"/>
      <c r="L108" s="34">
        <f>SUM(L109:L109)</f>
        <v>8.834999999999999</v>
      </c>
      <c r="M108" s="24"/>
      <c r="P108" s="34">
        <f>IF(Q108="PR",J108,SUM(O109:O109))</f>
        <v>0</v>
      </c>
      <c r="Q108" s="24" t="s">
        <v>421</v>
      </c>
      <c r="R108" s="34">
        <f>IF(Q108="HS",H108,0)</f>
        <v>0</v>
      </c>
      <c r="S108" s="34">
        <f>IF(Q108="HS",I108-P108,0)</f>
        <v>0</v>
      </c>
      <c r="T108" s="34">
        <f>IF(Q108="PS",H108,0)</f>
        <v>0</v>
      </c>
      <c r="U108" s="34">
        <f>IF(Q108="PS",I108-P108,0)</f>
        <v>0</v>
      </c>
      <c r="V108" s="34">
        <f>IF(Q108="MP",H108,0)</f>
        <v>0</v>
      </c>
      <c r="W108" s="34">
        <f>IF(Q108="MP",I108-P108,0)</f>
        <v>0</v>
      </c>
      <c r="X108" s="34">
        <f>IF(Q108="OM",H108,0)</f>
        <v>0</v>
      </c>
      <c r="Y108" s="24" t="s">
        <v>122</v>
      </c>
      <c r="AI108" s="34">
        <f>SUM(Z109:Z109)</f>
        <v>0</v>
      </c>
      <c r="AJ108" s="34">
        <f>SUM(AA109:AA109)</f>
        <v>0</v>
      </c>
      <c r="AK108" s="34">
        <f>SUM(AB109:AB109)</f>
        <v>0</v>
      </c>
    </row>
    <row r="109" spans="1:32" ht="12.75">
      <c r="A109" s="5" t="s">
        <v>85</v>
      </c>
      <c r="B109" s="5" t="s">
        <v>122</v>
      </c>
      <c r="C109" s="5" t="s">
        <v>203</v>
      </c>
      <c r="D109" s="5" t="s">
        <v>342</v>
      </c>
      <c r="E109" s="5" t="s">
        <v>387</v>
      </c>
      <c r="F109" s="15">
        <v>95</v>
      </c>
      <c r="G109" s="15"/>
      <c r="H109" s="15">
        <f>ROUND(F109*AE109,2)</f>
        <v>0</v>
      </c>
      <c r="I109" s="15">
        <f>J109-H109</f>
        <v>0</v>
      </c>
      <c r="J109" s="15">
        <f>ROUND(F109*G109,2)</f>
        <v>0</v>
      </c>
      <c r="K109" s="15">
        <v>0.093</v>
      </c>
      <c r="L109" s="15">
        <f>F109*K109</f>
        <v>8.834999999999999</v>
      </c>
      <c r="M109" s="27" t="s">
        <v>418</v>
      </c>
      <c r="N109" s="27" t="s">
        <v>7</v>
      </c>
      <c r="O109" s="15">
        <f>IF(N109="5",I109,0)</f>
        <v>0</v>
      </c>
      <c r="Z109" s="15">
        <f>IF(AD109=0,J109,0)</f>
        <v>0</v>
      </c>
      <c r="AA109" s="15">
        <f>IF(AD109=15,J109,0)</f>
        <v>0</v>
      </c>
      <c r="AB109" s="15">
        <f>IF(AD109=21,J109,0)</f>
        <v>0</v>
      </c>
      <c r="AD109" s="32">
        <v>21</v>
      </c>
      <c r="AE109" s="32">
        <f>G109*0.0807229403898367</f>
        <v>0</v>
      </c>
      <c r="AF109" s="32">
        <f>G109*(1-0.0807229403898367)</f>
        <v>0</v>
      </c>
    </row>
    <row r="110" spans="1:37" ht="12.75">
      <c r="A110" s="4"/>
      <c r="B110" s="12" t="s">
        <v>122</v>
      </c>
      <c r="C110" s="12" t="s">
        <v>204</v>
      </c>
      <c r="D110" s="57" t="s">
        <v>343</v>
      </c>
      <c r="E110" s="58"/>
      <c r="F110" s="58"/>
      <c r="G110" s="58"/>
      <c r="H110" s="34">
        <f>SUM(H111:H112)</f>
        <v>0</v>
      </c>
      <c r="I110" s="34">
        <f>SUM(I111:I112)</f>
        <v>0</v>
      </c>
      <c r="J110" s="34">
        <f>H110+I110</f>
        <v>0</v>
      </c>
      <c r="K110" s="24"/>
      <c r="L110" s="34">
        <f>SUM(L111:L112)</f>
        <v>0</v>
      </c>
      <c r="M110" s="24"/>
      <c r="P110" s="34">
        <f>IF(Q110="PR",J110,SUM(O111:O112))</f>
        <v>0</v>
      </c>
      <c r="Q110" s="24" t="s">
        <v>423</v>
      </c>
      <c r="R110" s="34">
        <f>IF(Q110="HS",H110,0)</f>
        <v>0</v>
      </c>
      <c r="S110" s="34">
        <f>IF(Q110="HS",I110-P110,0)</f>
        <v>0</v>
      </c>
      <c r="T110" s="34">
        <f>IF(Q110="PS",H110,0)</f>
        <v>0</v>
      </c>
      <c r="U110" s="34">
        <f>IF(Q110="PS",I110-P110,0)</f>
        <v>0</v>
      </c>
      <c r="V110" s="34">
        <f>IF(Q110="MP",H110,0)</f>
        <v>0</v>
      </c>
      <c r="W110" s="34">
        <f>IF(Q110="MP",I110-P110,0)</f>
        <v>0</v>
      </c>
      <c r="X110" s="34">
        <f>IF(Q110="OM",H110,0)</f>
        <v>0</v>
      </c>
      <c r="Y110" s="24" t="s">
        <v>122</v>
      </c>
      <c r="AI110" s="34">
        <f>SUM(Z111:Z112)</f>
        <v>0</v>
      </c>
      <c r="AJ110" s="34">
        <f>SUM(AA111:AA112)</f>
        <v>0</v>
      </c>
      <c r="AK110" s="34">
        <f>SUM(AB111:AB112)</f>
        <v>0</v>
      </c>
    </row>
    <row r="111" spans="1:32" ht="12.75">
      <c r="A111" s="5" t="s">
        <v>86</v>
      </c>
      <c r="B111" s="5" t="s">
        <v>122</v>
      </c>
      <c r="C111" s="5" t="s">
        <v>205</v>
      </c>
      <c r="D111" s="5" t="s">
        <v>344</v>
      </c>
      <c r="E111" s="5" t="s">
        <v>395</v>
      </c>
      <c r="F111" s="15">
        <v>28.02</v>
      </c>
      <c r="G111" s="15"/>
      <c r="H111" s="15">
        <f>ROUND(F111*AE111,2)</f>
        <v>0</v>
      </c>
      <c r="I111" s="15">
        <f>J111-H111</f>
        <v>0</v>
      </c>
      <c r="J111" s="15">
        <f>ROUND(F111*G111,2)</f>
        <v>0</v>
      </c>
      <c r="K111" s="15">
        <v>0</v>
      </c>
      <c r="L111" s="15">
        <f>F111*K111</f>
        <v>0</v>
      </c>
      <c r="M111" s="27" t="s">
        <v>418</v>
      </c>
      <c r="N111" s="27" t="s">
        <v>11</v>
      </c>
      <c r="O111" s="15">
        <f>IF(N111="5",I111,0)</f>
        <v>0</v>
      </c>
      <c r="Z111" s="15">
        <f>IF(AD111=0,J111,0)</f>
        <v>0</v>
      </c>
      <c r="AA111" s="15">
        <f>IF(AD111=15,J111,0)</f>
        <v>0</v>
      </c>
      <c r="AB111" s="15">
        <f>IF(AD111=21,J111,0)</f>
        <v>0</v>
      </c>
      <c r="AD111" s="32">
        <v>21</v>
      </c>
      <c r="AE111" s="32">
        <f>G111*0</f>
        <v>0</v>
      </c>
      <c r="AF111" s="32">
        <f>G111*(1-0)</f>
        <v>0</v>
      </c>
    </row>
    <row r="112" spans="1:32" ht="12.75">
      <c r="A112" s="5" t="s">
        <v>87</v>
      </c>
      <c r="B112" s="5" t="s">
        <v>122</v>
      </c>
      <c r="C112" s="5" t="s">
        <v>206</v>
      </c>
      <c r="D112" s="5" t="s">
        <v>345</v>
      </c>
      <c r="E112" s="5" t="s">
        <v>395</v>
      </c>
      <c r="F112" s="15">
        <v>37.32</v>
      </c>
      <c r="G112" s="15"/>
      <c r="H112" s="15">
        <f>ROUND(F112*AE112,2)</f>
        <v>0</v>
      </c>
      <c r="I112" s="15">
        <f>J112-H112</f>
        <v>0</v>
      </c>
      <c r="J112" s="15">
        <f>ROUND(F112*G112,2)</f>
        <v>0</v>
      </c>
      <c r="K112" s="15">
        <v>0</v>
      </c>
      <c r="L112" s="15">
        <f>F112*K112</f>
        <v>0</v>
      </c>
      <c r="M112" s="27" t="s">
        <v>418</v>
      </c>
      <c r="N112" s="27" t="s">
        <v>11</v>
      </c>
      <c r="O112" s="15">
        <f>IF(N112="5",I112,0)</f>
        <v>0</v>
      </c>
      <c r="Z112" s="15">
        <f>IF(AD112=0,J112,0)</f>
        <v>0</v>
      </c>
      <c r="AA112" s="15">
        <f>IF(AD112=15,J112,0)</f>
        <v>0</v>
      </c>
      <c r="AB112" s="15">
        <f>IF(AD112=21,J112,0)</f>
        <v>0</v>
      </c>
      <c r="AD112" s="32">
        <v>21</v>
      </c>
      <c r="AE112" s="32">
        <f>G112*0</f>
        <v>0</v>
      </c>
      <c r="AF112" s="32">
        <f>G112*(1-0)</f>
        <v>0</v>
      </c>
    </row>
    <row r="113" spans="1:37" ht="12.75">
      <c r="A113" s="4"/>
      <c r="B113" s="12" t="s">
        <v>122</v>
      </c>
      <c r="C113" s="12" t="s">
        <v>207</v>
      </c>
      <c r="D113" s="57" t="s">
        <v>346</v>
      </c>
      <c r="E113" s="58"/>
      <c r="F113" s="58"/>
      <c r="G113" s="58"/>
      <c r="H113" s="34">
        <f>SUM(H114:H114)</f>
        <v>0</v>
      </c>
      <c r="I113" s="34">
        <f>SUM(I114:I114)</f>
        <v>0</v>
      </c>
      <c r="J113" s="34">
        <f>H113+I113</f>
        <v>0</v>
      </c>
      <c r="K113" s="24"/>
      <c r="L113" s="34">
        <f>SUM(L114:L114)</f>
        <v>0</v>
      </c>
      <c r="M113" s="24"/>
      <c r="P113" s="34">
        <f>IF(Q113="PR",J113,SUM(O114:O114))</f>
        <v>0</v>
      </c>
      <c r="Q113" s="24" t="s">
        <v>423</v>
      </c>
      <c r="R113" s="34">
        <f>IF(Q113="HS",H113,0)</f>
        <v>0</v>
      </c>
      <c r="S113" s="34">
        <f>IF(Q113="HS",I113-P113,0)</f>
        <v>0</v>
      </c>
      <c r="T113" s="34">
        <f>IF(Q113="PS",H113,0)</f>
        <v>0</v>
      </c>
      <c r="U113" s="34">
        <f>IF(Q113="PS",I113-P113,0)</f>
        <v>0</v>
      </c>
      <c r="V113" s="34">
        <f>IF(Q113="MP",H113,0)</f>
        <v>0</v>
      </c>
      <c r="W113" s="34">
        <f>IF(Q113="MP",I113-P113,0)</f>
        <v>0</v>
      </c>
      <c r="X113" s="34">
        <f>IF(Q113="OM",H113,0)</f>
        <v>0</v>
      </c>
      <c r="Y113" s="24" t="s">
        <v>122</v>
      </c>
      <c r="AI113" s="34">
        <f>SUM(Z114:Z114)</f>
        <v>0</v>
      </c>
      <c r="AJ113" s="34">
        <f>SUM(AA114:AA114)</f>
        <v>0</v>
      </c>
      <c r="AK113" s="34">
        <f>SUM(AB114:AB114)</f>
        <v>0</v>
      </c>
    </row>
    <row r="114" spans="1:32" ht="12.75">
      <c r="A114" s="5" t="s">
        <v>88</v>
      </c>
      <c r="B114" s="5" t="s">
        <v>122</v>
      </c>
      <c r="C114" s="5" t="s">
        <v>208</v>
      </c>
      <c r="D114" s="5" t="s">
        <v>347</v>
      </c>
      <c r="E114" s="5" t="s">
        <v>395</v>
      </c>
      <c r="F114" s="15">
        <v>221.03</v>
      </c>
      <c r="G114" s="15"/>
      <c r="H114" s="15">
        <f>ROUND(F114*AE114,2)</f>
        <v>0</v>
      </c>
      <c r="I114" s="15">
        <f>J114-H114</f>
        <v>0</v>
      </c>
      <c r="J114" s="15">
        <f>ROUND(F114*G114,2)</f>
        <v>0</v>
      </c>
      <c r="K114" s="15">
        <v>0</v>
      </c>
      <c r="L114" s="15">
        <f>F114*K114</f>
        <v>0</v>
      </c>
      <c r="M114" s="27" t="s">
        <v>418</v>
      </c>
      <c r="N114" s="27" t="s">
        <v>11</v>
      </c>
      <c r="O114" s="15">
        <f>IF(N114="5",I114,0)</f>
        <v>0</v>
      </c>
      <c r="Z114" s="15">
        <f>IF(AD114=0,J114,0)</f>
        <v>0</v>
      </c>
      <c r="AA114" s="15">
        <f>IF(AD114=15,J114,0)</f>
        <v>0</v>
      </c>
      <c r="AB114" s="15">
        <f>IF(AD114=21,J114,0)</f>
        <v>0</v>
      </c>
      <c r="AD114" s="32">
        <v>21</v>
      </c>
      <c r="AE114" s="32">
        <f>G114*0</f>
        <v>0</v>
      </c>
      <c r="AF114" s="32">
        <f>G114*(1-0)</f>
        <v>0</v>
      </c>
    </row>
    <row r="115" spans="1:37" ht="12.75">
      <c r="A115" s="4"/>
      <c r="B115" s="12" t="s">
        <v>122</v>
      </c>
      <c r="C115" s="12" t="s">
        <v>209</v>
      </c>
      <c r="D115" s="57" t="s">
        <v>348</v>
      </c>
      <c r="E115" s="58"/>
      <c r="F115" s="58"/>
      <c r="G115" s="58"/>
      <c r="H115" s="34">
        <f>SUM(H116:H116)</f>
        <v>0</v>
      </c>
      <c r="I115" s="34">
        <f>SUM(I116:I116)</f>
        <v>0</v>
      </c>
      <c r="J115" s="34">
        <f>H115+I115</f>
        <v>0</v>
      </c>
      <c r="K115" s="24"/>
      <c r="L115" s="34">
        <f>SUM(L116:L116)</f>
        <v>0</v>
      </c>
      <c r="M115" s="24"/>
      <c r="P115" s="34">
        <f>IF(Q115="PR",J115,SUM(O116:O116))</f>
        <v>0</v>
      </c>
      <c r="Q115" s="24" t="s">
        <v>423</v>
      </c>
      <c r="R115" s="34">
        <f>IF(Q115="HS",H115,0)</f>
        <v>0</v>
      </c>
      <c r="S115" s="34">
        <f>IF(Q115="HS",I115-P115,0)</f>
        <v>0</v>
      </c>
      <c r="T115" s="34">
        <f>IF(Q115="PS",H115,0)</f>
        <v>0</v>
      </c>
      <c r="U115" s="34">
        <f>IF(Q115="PS",I115-P115,0)</f>
        <v>0</v>
      </c>
      <c r="V115" s="34">
        <f>IF(Q115="MP",H115,0)</f>
        <v>0</v>
      </c>
      <c r="W115" s="34">
        <f>IF(Q115="MP",I115-P115,0)</f>
        <v>0</v>
      </c>
      <c r="X115" s="34">
        <f>IF(Q115="OM",H115,0)</f>
        <v>0</v>
      </c>
      <c r="Y115" s="24" t="s">
        <v>122</v>
      </c>
      <c r="AI115" s="34">
        <f>SUM(Z116:Z116)</f>
        <v>0</v>
      </c>
      <c r="AJ115" s="34">
        <f>SUM(AA116:AA116)</f>
        <v>0</v>
      </c>
      <c r="AK115" s="34">
        <f>SUM(AB116:AB116)</f>
        <v>0</v>
      </c>
    </row>
    <row r="116" spans="1:32" ht="12.75">
      <c r="A116" s="5" t="s">
        <v>89</v>
      </c>
      <c r="B116" s="5" t="s">
        <v>122</v>
      </c>
      <c r="C116" s="5" t="s">
        <v>210</v>
      </c>
      <c r="D116" s="5" t="s">
        <v>349</v>
      </c>
      <c r="E116" s="5" t="s">
        <v>395</v>
      </c>
      <c r="F116" s="15">
        <v>28.02</v>
      </c>
      <c r="G116" s="15"/>
      <c r="H116" s="15">
        <f>ROUND(F116*AE116,2)</f>
        <v>0</v>
      </c>
      <c r="I116" s="15">
        <f>J116-H116</f>
        <v>0</v>
      </c>
      <c r="J116" s="15">
        <f>ROUND(F116*G116,2)</f>
        <v>0</v>
      </c>
      <c r="K116" s="15">
        <v>0</v>
      </c>
      <c r="L116" s="15">
        <f>F116*K116</f>
        <v>0</v>
      </c>
      <c r="M116" s="27" t="s">
        <v>418</v>
      </c>
      <c r="N116" s="27" t="s">
        <v>11</v>
      </c>
      <c r="O116" s="15">
        <f>IF(N116="5",I116,0)</f>
        <v>0</v>
      </c>
      <c r="Z116" s="15">
        <f>IF(AD116=0,J116,0)</f>
        <v>0</v>
      </c>
      <c r="AA116" s="15">
        <f>IF(AD116=15,J116,0)</f>
        <v>0</v>
      </c>
      <c r="AB116" s="15">
        <f>IF(AD116=21,J116,0)</f>
        <v>0</v>
      </c>
      <c r="AD116" s="32">
        <v>21</v>
      </c>
      <c r="AE116" s="32">
        <f>G116*0</f>
        <v>0</v>
      </c>
      <c r="AF116" s="32">
        <f>G116*(1-0)</f>
        <v>0</v>
      </c>
    </row>
    <row r="117" spans="1:37" ht="12.75">
      <c r="A117" s="4"/>
      <c r="B117" s="12" t="s">
        <v>122</v>
      </c>
      <c r="C117" s="12"/>
      <c r="D117" s="57" t="s">
        <v>350</v>
      </c>
      <c r="E117" s="58"/>
      <c r="F117" s="58"/>
      <c r="G117" s="58"/>
      <c r="H117" s="34">
        <f>SUM(H118:H148)</f>
        <v>0</v>
      </c>
      <c r="I117" s="34">
        <f>SUM(I118:I148)</f>
        <v>0</v>
      </c>
      <c r="J117" s="34">
        <f>H117+I117</f>
        <v>0</v>
      </c>
      <c r="K117" s="24"/>
      <c r="L117" s="34">
        <f>SUM(L118:L148)</f>
        <v>135.636721</v>
      </c>
      <c r="M117" s="24"/>
      <c r="P117" s="34">
        <f>IF(Q117="PR",J117,SUM(O118:O148))</f>
        <v>0</v>
      </c>
      <c r="Q117" s="24" t="s">
        <v>424</v>
      </c>
      <c r="R117" s="34">
        <f>IF(Q117="HS",H117,0)</f>
        <v>0</v>
      </c>
      <c r="S117" s="34">
        <f>IF(Q117="HS",I117-P117,0)</f>
        <v>0</v>
      </c>
      <c r="T117" s="34">
        <f>IF(Q117="PS",H117,0)</f>
        <v>0</v>
      </c>
      <c r="U117" s="34">
        <f>IF(Q117="PS",I117-P117,0)</f>
        <v>0</v>
      </c>
      <c r="V117" s="34">
        <f>IF(Q117="MP",H117,0)</f>
        <v>0</v>
      </c>
      <c r="W117" s="34">
        <f>IF(Q117="MP",I117-P117,0)</f>
        <v>0</v>
      </c>
      <c r="X117" s="34">
        <f>IF(Q117="OM",H117,0)</f>
        <v>0</v>
      </c>
      <c r="Y117" s="24" t="s">
        <v>122</v>
      </c>
      <c r="AI117" s="34">
        <f>SUM(Z118:Z148)</f>
        <v>0</v>
      </c>
      <c r="AJ117" s="34">
        <f>SUM(AA118:AA148)</f>
        <v>0</v>
      </c>
      <c r="AK117" s="34">
        <f>SUM(AB118:AB148)</f>
        <v>0</v>
      </c>
    </row>
    <row r="118" spans="1:32" ht="12.75">
      <c r="A118" s="6" t="s">
        <v>90</v>
      </c>
      <c r="B118" s="6" t="s">
        <v>122</v>
      </c>
      <c r="C118" s="6" t="s">
        <v>211</v>
      </c>
      <c r="D118" s="6" t="s">
        <v>351</v>
      </c>
      <c r="E118" s="6" t="s">
        <v>397</v>
      </c>
      <c r="F118" s="16">
        <v>6</v>
      </c>
      <c r="G118" s="16"/>
      <c r="H118" s="16">
        <f aca="true" t="shared" si="44" ref="H118:H148">ROUND(F118*AE118,2)</f>
        <v>0</v>
      </c>
      <c r="I118" s="16">
        <f aca="true" t="shared" si="45" ref="I118:I148">J118-H118</f>
        <v>0</v>
      </c>
      <c r="J118" s="16">
        <f aca="true" t="shared" si="46" ref="J118:J148">ROUND(F118*G118,2)</f>
        <v>0</v>
      </c>
      <c r="K118" s="16">
        <v>0.0307</v>
      </c>
      <c r="L118" s="16">
        <f aca="true" t="shared" si="47" ref="L118:L148">F118*K118</f>
        <v>0.1842</v>
      </c>
      <c r="M118" s="28"/>
      <c r="N118" s="28" t="s">
        <v>124</v>
      </c>
      <c r="O118" s="16">
        <f aca="true" t="shared" si="48" ref="O118:O148">IF(N118="5",I118,0)</f>
        <v>0</v>
      </c>
      <c r="Z118" s="16">
        <f aca="true" t="shared" si="49" ref="Z118:Z148">IF(AD118=0,J118,0)</f>
        <v>0</v>
      </c>
      <c r="AA118" s="16">
        <f aca="true" t="shared" si="50" ref="AA118:AA148">IF(AD118=15,J118,0)</f>
        <v>0</v>
      </c>
      <c r="AB118" s="16">
        <f aca="true" t="shared" si="51" ref="AB118:AB148">IF(AD118=21,J118,0)</f>
        <v>0</v>
      </c>
      <c r="AD118" s="32">
        <v>21</v>
      </c>
      <c r="AE118" s="32">
        <f aca="true" t="shared" si="52" ref="AE118:AE148">G118*1</f>
        <v>0</v>
      </c>
      <c r="AF118" s="32">
        <f aca="true" t="shared" si="53" ref="AF118:AF148">G118*(1-1)</f>
        <v>0</v>
      </c>
    </row>
    <row r="119" spans="1:32" ht="12.75">
      <c r="A119" s="6" t="s">
        <v>91</v>
      </c>
      <c r="B119" s="6" t="s">
        <v>122</v>
      </c>
      <c r="C119" s="6" t="s">
        <v>212</v>
      </c>
      <c r="D119" s="6" t="s">
        <v>352</v>
      </c>
      <c r="E119" s="6" t="s">
        <v>397</v>
      </c>
      <c r="F119" s="16">
        <v>7</v>
      </c>
      <c r="G119" s="16"/>
      <c r="H119" s="16">
        <f t="shared" si="44"/>
        <v>0</v>
      </c>
      <c r="I119" s="16">
        <f t="shared" si="45"/>
        <v>0</v>
      </c>
      <c r="J119" s="16">
        <f t="shared" si="46"/>
        <v>0</v>
      </c>
      <c r="K119" s="16">
        <v>0.042</v>
      </c>
      <c r="L119" s="16">
        <f t="shared" si="47"/>
        <v>0.29400000000000004</v>
      </c>
      <c r="M119" s="28"/>
      <c r="N119" s="28" t="s">
        <v>124</v>
      </c>
      <c r="O119" s="16">
        <f t="shared" si="48"/>
        <v>0</v>
      </c>
      <c r="Z119" s="16">
        <f t="shared" si="49"/>
        <v>0</v>
      </c>
      <c r="AA119" s="16">
        <f t="shared" si="50"/>
        <v>0</v>
      </c>
      <c r="AB119" s="16">
        <f t="shared" si="51"/>
        <v>0</v>
      </c>
      <c r="AD119" s="32">
        <v>21</v>
      </c>
      <c r="AE119" s="32">
        <f t="shared" si="52"/>
        <v>0</v>
      </c>
      <c r="AF119" s="32">
        <f t="shared" si="53"/>
        <v>0</v>
      </c>
    </row>
    <row r="120" spans="1:32" ht="12.75">
      <c r="A120" s="6" t="s">
        <v>92</v>
      </c>
      <c r="B120" s="6" t="s">
        <v>122</v>
      </c>
      <c r="C120" s="6" t="s">
        <v>213</v>
      </c>
      <c r="D120" s="6" t="s">
        <v>353</v>
      </c>
      <c r="E120" s="6" t="s">
        <v>397</v>
      </c>
      <c r="F120" s="16">
        <v>7</v>
      </c>
      <c r="G120" s="16"/>
      <c r="H120" s="16">
        <f t="shared" si="44"/>
        <v>0</v>
      </c>
      <c r="I120" s="16">
        <f t="shared" si="45"/>
        <v>0</v>
      </c>
      <c r="J120" s="16">
        <f t="shared" si="46"/>
        <v>0</v>
      </c>
      <c r="K120" s="16">
        <v>0.0766</v>
      </c>
      <c r="L120" s="16">
        <f t="shared" si="47"/>
        <v>0.5362</v>
      </c>
      <c r="M120" s="28"/>
      <c r="N120" s="28" t="s">
        <v>124</v>
      </c>
      <c r="O120" s="16">
        <f t="shared" si="48"/>
        <v>0</v>
      </c>
      <c r="Z120" s="16">
        <f t="shared" si="49"/>
        <v>0</v>
      </c>
      <c r="AA120" s="16">
        <f t="shared" si="50"/>
        <v>0</v>
      </c>
      <c r="AB120" s="16">
        <f t="shared" si="51"/>
        <v>0</v>
      </c>
      <c r="AD120" s="32">
        <v>21</v>
      </c>
      <c r="AE120" s="32">
        <f t="shared" si="52"/>
        <v>0</v>
      </c>
      <c r="AF120" s="32">
        <f t="shared" si="53"/>
        <v>0</v>
      </c>
    </row>
    <row r="121" spans="1:32" ht="12.75">
      <c r="A121" s="6" t="s">
        <v>93</v>
      </c>
      <c r="B121" s="6" t="s">
        <v>122</v>
      </c>
      <c r="C121" s="6" t="s">
        <v>214</v>
      </c>
      <c r="D121" s="6" t="s">
        <v>354</v>
      </c>
      <c r="E121" s="6" t="s">
        <v>397</v>
      </c>
      <c r="F121" s="16">
        <v>7</v>
      </c>
      <c r="G121" s="16"/>
      <c r="H121" s="16">
        <f t="shared" si="44"/>
        <v>0</v>
      </c>
      <c r="I121" s="16">
        <f t="shared" si="45"/>
        <v>0</v>
      </c>
      <c r="J121" s="16">
        <f t="shared" si="46"/>
        <v>0</v>
      </c>
      <c r="K121" s="16">
        <v>0.0107</v>
      </c>
      <c r="L121" s="16">
        <f t="shared" si="47"/>
        <v>0.0749</v>
      </c>
      <c r="M121" s="28"/>
      <c r="N121" s="28" t="s">
        <v>124</v>
      </c>
      <c r="O121" s="16">
        <f t="shared" si="48"/>
        <v>0</v>
      </c>
      <c r="Z121" s="16">
        <f t="shared" si="49"/>
        <v>0</v>
      </c>
      <c r="AA121" s="16">
        <f t="shared" si="50"/>
        <v>0</v>
      </c>
      <c r="AB121" s="16">
        <f t="shared" si="51"/>
        <v>0</v>
      </c>
      <c r="AD121" s="32">
        <v>21</v>
      </c>
      <c r="AE121" s="32">
        <f t="shared" si="52"/>
        <v>0</v>
      </c>
      <c r="AF121" s="32">
        <f t="shared" si="53"/>
        <v>0</v>
      </c>
    </row>
    <row r="122" spans="1:32" ht="12.75">
      <c r="A122" s="6" t="s">
        <v>94</v>
      </c>
      <c r="B122" s="6" t="s">
        <v>122</v>
      </c>
      <c r="C122" s="6" t="s">
        <v>215</v>
      </c>
      <c r="D122" s="6" t="s">
        <v>355</v>
      </c>
      <c r="E122" s="6" t="s">
        <v>397</v>
      </c>
      <c r="F122" s="16">
        <v>1</v>
      </c>
      <c r="G122" s="16"/>
      <c r="H122" s="16">
        <f t="shared" si="44"/>
        <v>0</v>
      </c>
      <c r="I122" s="16">
        <f t="shared" si="45"/>
        <v>0</v>
      </c>
      <c r="J122" s="16">
        <f t="shared" si="46"/>
        <v>0</v>
      </c>
      <c r="K122" s="16">
        <v>0.02</v>
      </c>
      <c r="L122" s="16">
        <f t="shared" si="47"/>
        <v>0.02</v>
      </c>
      <c r="M122" s="28"/>
      <c r="N122" s="28" t="s">
        <v>124</v>
      </c>
      <c r="O122" s="16">
        <f t="shared" si="48"/>
        <v>0</v>
      </c>
      <c r="Z122" s="16">
        <f t="shared" si="49"/>
        <v>0</v>
      </c>
      <c r="AA122" s="16">
        <f t="shared" si="50"/>
        <v>0</v>
      </c>
      <c r="AB122" s="16">
        <f t="shared" si="51"/>
        <v>0</v>
      </c>
      <c r="AD122" s="32">
        <v>21</v>
      </c>
      <c r="AE122" s="32">
        <f t="shared" si="52"/>
        <v>0</v>
      </c>
      <c r="AF122" s="32">
        <f t="shared" si="53"/>
        <v>0</v>
      </c>
    </row>
    <row r="123" spans="1:32" ht="12.75">
      <c r="A123" s="6" t="s">
        <v>95</v>
      </c>
      <c r="B123" s="6" t="s">
        <v>122</v>
      </c>
      <c r="C123" s="6" t="s">
        <v>216</v>
      </c>
      <c r="D123" s="6" t="s">
        <v>356</v>
      </c>
      <c r="E123" s="6" t="s">
        <v>397</v>
      </c>
      <c r="F123" s="16">
        <v>3</v>
      </c>
      <c r="G123" s="16"/>
      <c r="H123" s="16">
        <f t="shared" si="44"/>
        <v>0</v>
      </c>
      <c r="I123" s="16">
        <f t="shared" si="45"/>
        <v>0</v>
      </c>
      <c r="J123" s="16">
        <f t="shared" si="46"/>
        <v>0</v>
      </c>
      <c r="K123" s="16">
        <v>0.02</v>
      </c>
      <c r="L123" s="16">
        <f t="shared" si="47"/>
        <v>0.06</v>
      </c>
      <c r="M123" s="28"/>
      <c r="N123" s="28" t="s">
        <v>124</v>
      </c>
      <c r="O123" s="16">
        <f t="shared" si="48"/>
        <v>0</v>
      </c>
      <c r="Z123" s="16">
        <f t="shared" si="49"/>
        <v>0</v>
      </c>
      <c r="AA123" s="16">
        <f t="shared" si="50"/>
        <v>0</v>
      </c>
      <c r="AB123" s="16">
        <f t="shared" si="51"/>
        <v>0</v>
      </c>
      <c r="AD123" s="32">
        <v>21</v>
      </c>
      <c r="AE123" s="32">
        <f t="shared" si="52"/>
        <v>0</v>
      </c>
      <c r="AF123" s="32">
        <f t="shared" si="53"/>
        <v>0</v>
      </c>
    </row>
    <row r="124" spans="1:32" ht="12.75">
      <c r="A124" s="6" t="s">
        <v>96</v>
      </c>
      <c r="B124" s="6" t="s">
        <v>122</v>
      </c>
      <c r="C124" s="6" t="s">
        <v>217</v>
      </c>
      <c r="D124" s="6" t="s">
        <v>357</v>
      </c>
      <c r="E124" s="6" t="s">
        <v>398</v>
      </c>
      <c r="F124" s="16">
        <v>4</v>
      </c>
      <c r="G124" s="16"/>
      <c r="H124" s="16">
        <f t="shared" si="44"/>
        <v>0</v>
      </c>
      <c r="I124" s="16">
        <f t="shared" si="45"/>
        <v>0</v>
      </c>
      <c r="J124" s="16">
        <f t="shared" si="46"/>
        <v>0</v>
      </c>
      <c r="K124" s="16">
        <v>0.022</v>
      </c>
      <c r="L124" s="16">
        <f t="shared" si="47"/>
        <v>0.088</v>
      </c>
      <c r="M124" s="28"/>
      <c r="N124" s="28" t="s">
        <v>124</v>
      </c>
      <c r="O124" s="16">
        <f t="shared" si="48"/>
        <v>0</v>
      </c>
      <c r="Z124" s="16">
        <f t="shared" si="49"/>
        <v>0</v>
      </c>
      <c r="AA124" s="16">
        <f t="shared" si="50"/>
        <v>0</v>
      </c>
      <c r="AB124" s="16">
        <f t="shared" si="51"/>
        <v>0</v>
      </c>
      <c r="AD124" s="32">
        <v>21</v>
      </c>
      <c r="AE124" s="32">
        <f t="shared" si="52"/>
        <v>0</v>
      </c>
      <c r="AF124" s="32">
        <f t="shared" si="53"/>
        <v>0</v>
      </c>
    </row>
    <row r="125" spans="1:32" ht="12.75">
      <c r="A125" s="6" t="s">
        <v>97</v>
      </c>
      <c r="B125" s="6" t="s">
        <v>122</v>
      </c>
      <c r="C125" s="6" t="s">
        <v>218</v>
      </c>
      <c r="D125" s="6" t="s">
        <v>358</v>
      </c>
      <c r="E125" s="6" t="s">
        <v>397</v>
      </c>
      <c r="F125" s="16">
        <v>1</v>
      </c>
      <c r="G125" s="16"/>
      <c r="H125" s="16">
        <f t="shared" si="44"/>
        <v>0</v>
      </c>
      <c r="I125" s="16">
        <f t="shared" si="45"/>
        <v>0</v>
      </c>
      <c r="J125" s="16">
        <f t="shared" si="46"/>
        <v>0</v>
      </c>
      <c r="K125" s="16">
        <v>0.024</v>
      </c>
      <c r="L125" s="16">
        <f t="shared" si="47"/>
        <v>0.024</v>
      </c>
      <c r="M125" s="28"/>
      <c r="N125" s="28" t="s">
        <v>124</v>
      </c>
      <c r="O125" s="16">
        <f t="shared" si="48"/>
        <v>0</v>
      </c>
      <c r="Z125" s="16">
        <f t="shared" si="49"/>
        <v>0</v>
      </c>
      <c r="AA125" s="16">
        <f t="shared" si="50"/>
        <v>0</v>
      </c>
      <c r="AB125" s="16">
        <f t="shared" si="51"/>
        <v>0</v>
      </c>
      <c r="AD125" s="32">
        <v>21</v>
      </c>
      <c r="AE125" s="32">
        <f t="shared" si="52"/>
        <v>0</v>
      </c>
      <c r="AF125" s="32">
        <f t="shared" si="53"/>
        <v>0</v>
      </c>
    </row>
    <row r="126" spans="1:32" ht="12.75">
      <c r="A126" s="6" t="s">
        <v>98</v>
      </c>
      <c r="B126" s="6" t="s">
        <v>122</v>
      </c>
      <c r="C126" s="6" t="s">
        <v>219</v>
      </c>
      <c r="D126" s="6" t="s">
        <v>359</v>
      </c>
      <c r="E126" s="6" t="s">
        <v>395</v>
      </c>
      <c r="F126" s="16">
        <v>116</v>
      </c>
      <c r="G126" s="16"/>
      <c r="H126" s="16">
        <f t="shared" si="44"/>
        <v>0</v>
      </c>
      <c r="I126" s="16">
        <f t="shared" si="45"/>
        <v>0</v>
      </c>
      <c r="J126" s="16">
        <f t="shared" si="46"/>
        <v>0</v>
      </c>
      <c r="K126" s="16">
        <v>1</v>
      </c>
      <c r="L126" s="16">
        <f t="shared" si="47"/>
        <v>116</v>
      </c>
      <c r="M126" s="28"/>
      <c r="N126" s="28" t="s">
        <v>124</v>
      </c>
      <c r="O126" s="16">
        <f t="shared" si="48"/>
        <v>0</v>
      </c>
      <c r="Z126" s="16">
        <f t="shared" si="49"/>
        <v>0</v>
      </c>
      <c r="AA126" s="16">
        <f t="shared" si="50"/>
        <v>0</v>
      </c>
      <c r="AB126" s="16">
        <f t="shared" si="51"/>
        <v>0</v>
      </c>
      <c r="AD126" s="32">
        <v>21</v>
      </c>
      <c r="AE126" s="32">
        <f t="shared" si="52"/>
        <v>0</v>
      </c>
      <c r="AF126" s="32">
        <f t="shared" si="53"/>
        <v>0</v>
      </c>
    </row>
    <row r="127" spans="1:32" ht="12.75">
      <c r="A127" s="6" t="s">
        <v>99</v>
      </c>
      <c r="B127" s="6" t="s">
        <v>122</v>
      </c>
      <c r="C127" s="6" t="s">
        <v>220</v>
      </c>
      <c r="D127" s="6" t="s">
        <v>360</v>
      </c>
      <c r="E127" s="6" t="s">
        <v>397</v>
      </c>
      <c r="F127" s="16">
        <v>3</v>
      </c>
      <c r="G127" s="16"/>
      <c r="H127" s="16">
        <f t="shared" si="44"/>
        <v>0</v>
      </c>
      <c r="I127" s="16">
        <f t="shared" si="45"/>
        <v>0</v>
      </c>
      <c r="J127" s="16">
        <f t="shared" si="46"/>
        <v>0</v>
      </c>
      <c r="K127" s="16">
        <v>1.2</v>
      </c>
      <c r="L127" s="16">
        <f t="shared" si="47"/>
        <v>3.5999999999999996</v>
      </c>
      <c r="M127" s="28"/>
      <c r="N127" s="28" t="s">
        <v>124</v>
      </c>
      <c r="O127" s="16">
        <f t="shared" si="48"/>
        <v>0</v>
      </c>
      <c r="Z127" s="16">
        <f t="shared" si="49"/>
        <v>0</v>
      </c>
      <c r="AA127" s="16">
        <f t="shared" si="50"/>
        <v>0</v>
      </c>
      <c r="AB127" s="16">
        <f t="shared" si="51"/>
        <v>0</v>
      </c>
      <c r="AD127" s="32">
        <v>21</v>
      </c>
      <c r="AE127" s="32">
        <f t="shared" si="52"/>
        <v>0</v>
      </c>
      <c r="AF127" s="32">
        <f t="shared" si="53"/>
        <v>0</v>
      </c>
    </row>
    <row r="128" spans="1:32" ht="12.75">
      <c r="A128" s="6" t="s">
        <v>100</v>
      </c>
      <c r="B128" s="6" t="s">
        <v>122</v>
      </c>
      <c r="C128" s="6" t="s">
        <v>221</v>
      </c>
      <c r="D128" s="6" t="s">
        <v>361</v>
      </c>
      <c r="E128" s="6" t="s">
        <v>397</v>
      </c>
      <c r="F128" s="16">
        <v>4</v>
      </c>
      <c r="G128" s="16"/>
      <c r="H128" s="16">
        <f t="shared" si="44"/>
        <v>0</v>
      </c>
      <c r="I128" s="16">
        <f t="shared" si="45"/>
        <v>0</v>
      </c>
      <c r="J128" s="16">
        <f t="shared" si="46"/>
        <v>0</v>
      </c>
      <c r="K128" s="16">
        <v>1.4</v>
      </c>
      <c r="L128" s="16">
        <f t="shared" si="47"/>
        <v>5.6</v>
      </c>
      <c r="M128" s="28"/>
      <c r="N128" s="28" t="s">
        <v>124</v>
      </c>
      <c r="O128" s="16">
        <f t="shared" si="48"/>
        <v>0</v>
      </c>
      <c r="Z128" s="16">
        <f t="shared" si="49"/>
        <v>0</v>
      </c>
      <c r="AA128" s="16">
        <f t="shared" si="50"/>
        <v>0</v>
      </c>
      <c r="AB128" s="16">
        <f t="shared" si="51"/>
        <v>0</v>
      </c>
      <c r="AD128" s="32">
        <v>21</v>
      </c>
      <c r="AE128" s="32">
        <f t="shared" si="52"/>
        <v>0</v>
      </c>
      <c r="AF128" s="32">
        <f t="shared" si="53"/>
        <v>0</v>
      </c>
    </row>
    <row r="129" spans="1:32" ht="12.75">
      <c r="A129" s="6" t="s">
        <v>101</v>
      </c>
      <c r="B129" s="6" t="s">
        <v>122</v>
      </c>
      <c r="C129" s="6" t="s">
        <v>222</v>
      </c>
      <c r="D129" s="6" t="s">
        <v>362</v>
      </c>
      <c r="E129" s="6" t="s">
        <v>397</v>
      </c>
      <c r="F129" s="16">
        <v>14</v>
      </c>
      <c r="G129" s="16"/>
      <c r="H129" s="16">
        <f t="shared" si="44"/>
        <v>0</v>
      </c>
      <c r="I129" s="16">
        <f t="shared" si="45"/>
        <v>0</v>
      </c>
      <c r="J129" s="16">
        <f t="shared" si="46"/>
        <v>0</v>
      </c>
      <c r="K129" s="16">
        <v>0.001</v>
      </c>
      <c r="L129" s="16">
        <f t="shared" si="47"/>
        <v>0.014</v>
      </c>
      <c r="M129" s="28"/>
      <c r="N129" s="28" t="s">
        <v>124</v>
      </c>
      <c r="O129" s="16">
        <f t="shared" si="48"/>
        <v>0</v>
      </c>
      <c r="Z129" s="16">
        <f t="shared" si="49"/>
        <v>0</v>
      </c>
      <c r="AA129" s="16">
        <f t="shared" si="50"/>
        <v>0</v>
      </c>
      <c r="AB129" s="16">
        <f t="shared" si="51"/>
        <v>0</v>
      </c>
      <c r="AD129" s="32">
        <v>21</v>
      </c>
      <c r="AE129" s="32">
        <f t="shared" si="52"/>
        <v>0</v>
      </c>
      <c r="AF129" s="32">
        <f t="shared" si="53"/>
        <v>0</v>
      </c>
    </row>
    <row r="130" spans="1:32" ht="12.75">
      <c r="A130" s="6" t="s">
        <v>102</v>
      </c>
      <c r="B130" s="6" t="s">
        <v>122</v>
      </c>
      <c r="C130" s="6" t="s">
        <v>223</v>
      </c>
      <c r="D130" s="6" t="s">
        <v>363</v>
      </c>
      <c r="E130" s="6" t="s">
        <v>397</v>
      </c>
      <c r="F130" s="16">
        <v>2</v>
      </c>
      <c r="G130" s="16"/>
      <c r="H130" s="16">
        <f t="shared" si="44"/>
        <v>0</v>
      </c>
      <c r="I130" s="16">
        <f t="shared" si="45"/>
        <v>0</v>
      </c>
      <c r="J130" s="16">
        <f t="shared" si="46"/>
        <v>0</v>
      </c>
      <c r="K130" s="16">
        <v>0.259</v>
      </c>
      <c r="L130" s="16">
        <f t="shared" si="47"/>
        <v>0.518</v>
      </c>
      <c r="M130" s="28"/>
      <c r="N130" s="28" t="s">
        <v>124</v>
      </c>
      <c r="O130" s="16">
        <f t="shared" si="48"/>
        <v>0</v>
      </c>
      <c r="Z130" s="16">
        <f t="shared" si="49"/>
        <v>0</v>
      </c>
      <c r="AA130" s="16">
        <f t="shared" si="50"/>
        <v>0</v>
      </c>
      <c r="AB130" s="16">
        <f t="shared" si="51"/>
        <v>0</v>
      </c>
      <c r="AD130" s="32">
        <v>21</v>
      </c>
      <c r="AE130" s="32">
        <f t="shared" si="52"/>
        <v>0</v>
      </c>
      <c r="AF130" s="32">
        <f t="shared" si="53"/>
        <v>0</v>
      </c>
    </row>
    <row r="131" spans="1:32" ht="12.75">
      <c r="A131" s="6" t="s">
        <v>103</v>
      </c>
      <c r="B131" s="6" t="s">
        <v>122</v>
      </c>
      <c r="C131" s="6" t="s">
        <v>224</v>
      </c>
      <c r="D131" s="6" t="s">
        <v>364</v>
      </c>
      <c r="E131" s="6" t="s">
        <v>397</v>
      </c>
      <c r="F131" s="16">
        <v>5</v>
      </c>
      <c r="G131" s="16"/>
      <c r="H131" s="16">
        <f t="shared" si="44"/>
        <v>0</v>
      </c>
      <c r="I131" s="16">
        <f t="shared" si="45"/>
        <v>0</v>
      </c>
      <c r="J131" s="16">
        <f t="shared" si="46"/>
        <v>0</v>
      </c>
      <c r="K131" s="16">
        <v>0.518</v>
      </c>
      <c r="L131" s="16">
        <f t="shared" si="47"/>
        <v>2.59</v>
      </c>
      <c r="M131" s="28"/>
      <c r="N131" s="28" t="s">
        <v>124</v>
      </c>
      <c r="O131" s="16">
        <f t="shared" si="48"/>
        <v>0</v>
      </c>
      <c r="Z131" s="16">
        <f t="shared" si="49"/>
        <v>0</v>
      </c>
      <c r="AA131" s="16">
        <f t="shared" si="50"/>
        <v>0</v>
      </c>
      <c r="AB131" s="16">
        <f t="shared" si="51"/>
        <v>0</v>
      </c>
      <c r="AD131" s="32">
        <v>21</v>
      </c>
      <c r="AE131" s="32">
        <f t="shared" si="52"/>
        <v>0</v>
      </c>
      <c r="AF131" s="32">
        <f t="shared" si="53"/>
        <v>0</v>
      </c>
    </row>
    <row r="132" spans="1:32" ht="12.75">
      <c r="A132" s="6" t="s">
        <v>104</v>
      </c>
      <c r="B132" s="6" t="s">
        <v>122</v>
      </c>
      <c r="C132" s="6" t="s">
        <v>225</v>
      </c>
      <c r="D132" s="6" t="s">
        <v>365</v>
      </c>
      <c r="E132" s="6" t="s">
        <v>397</v>
      </c>
      <c r="F132" s="16">
        <v>1</v>
      </c>
      <c r="G132" s="16"/>
      <c r="H132" s="16">
        <f t="shared" si="44"/>
        <v>0</v>
      </c>
      <c r="I132" s="16">
        <f t="shared" si="45"/>
        <v>0</v>
      </c>
      <c r="J132" s="16">
        <f t="shared" si="46"/>
        <v>0</v>
      </c>
      <c r="K132" s="16">
        <v>0.483</v>
      </c>
      <c r="L132" s="16">
        <f t="shared" si="47"/>
        <v>0.483</v>
      </c>
      <c r="M132" s="28"/>
      <c r="N132" s="28" t="s">
        <v>124</v>
      </c>
      <c r="O132" s="16">
        <f t="shared" si="48"/>
        <v>0</v>
      </c>
      <c r="Z132" s="16">
        <f t="shared" si="49"/>
        <v>0</v>
      </c>
      <c r="AA132" s="16">
        <f t="shared" si="50"/>
        <v>0</v>
      </c>
      <c r="AB132" s="16">
        <f t="shared" si="51"/>
        <v>0</v>
      </c>
      <c r="AD132" s="32">
        <v>21</v>
      </c>
      <c r="AE132" s="32">
        <f t="shared" si="52"/>
        <v>0</v>
      </c>
      <c r="AF132" s="32">
        <f t="shared" si="53"/>
        <v>0</v>
      </c>
    </row>
    <row r="133" spans="1:32" ht="12.75">
      <c r="A133" s="6" t="s">
        <v>105</v>
      </c>
      <c r="B133" s="6" t="s">
        <v>122</v>
      </c>
      <c r="C133" s="6" t="s">
        <v>226</v>
      </c>
      <c r="D133" s="6" t="s">
        <v>366</v>
      </c>
      <c r="E133" s="6" t="s">
        <v>397</v>
      </c>
      <c r="F133" s="16">
        <v>7</v>
      </c>
      <c r="G133" s="16"/>
      <c r="H133" s="16">
        <f t="shared" si="44"/>
        <v>0</v>
      </c>
      <c r="I133" s="16">
        <f t="shared" si="45"/>
        <v>0</v>
      </c>
      <c r="J133" s="16">
        <f t="shared" si="46"/>
        <v>0</v>
      </c>
      <c r="K133" s="16">
        <v>0.628</v>
      </c>
      <c r="L133" s="16">
        <f t="shared" si="47"/>
        <v>4.396</v>
      </c>
      <c r="M133" s="28"/>
      <c r="N133" s="28" t="s">
        <v>124</v>
      </c>
      <c r="O133" s="16">
        <f t="shared" si="48"/>
        <v>0</v>
      </c>
      <c r="Z133" s="16">
        <f t="shared" si="49"/>
        <v>0</v>
      </c>
      <c r="AA133" s="16">
        <f t="shared" si="50"/>
        <v>0</v>
      </c>
      <c r="AB133" s="16">
        <f t="shared" si="51"/>
        <v>0</v>
      </c>
      <c r="AD133" s="32">
        <v>21</v>
      </c>
      <c r="AE133" s="32">
        <f t="shared" si="52"/>
        <v>0</v>
      </c>
      <c r="AF133" s="32">
        <f t="shared" si="53"/>
        <v>0</v>
      </c>
    </row>
    <row r="134" spans="1:32" ht="12.75">
      <c r="A134" s="6" t="s">
        <v>106</v>
      </c>
      <c r="B134" s="6" t="s">
        <v>122</v>
      </c>
      <c r="C134" s="6" t="s">
        <v>227</v>
      </c>
      <c r="D134" s="6" t="s">
        <v>367</v>
      </c>
      <c r="E134" s="6" t="s">
        <v>397</v>
      </c>
      <c r="F134" s="16">
        <v>2</v>
      </c>
      <c r="G134" s="16"/>
      <c r="H134" s="16">
        <f t="shared" si="44"/>
        <v>0</v>
      </c>
      <c r="I134" s="16">
        <f t="shared" si="45"/>
        <v>0</v>
      </c>
      <c r="J134" s="16">
        <f t="shared" si="46"/>
        <v>0</v>
      </c>
      <c r="K134" s="16">
        <v>0.081</v>
      </c>
      <c r="L134" s="16">
        <f t="shared" si="47"/>
        <v>0.162</v>
      </c>
      <c r="M134" s="28"/>
      <c r="N134" s="28" t="s">
        <v>124</v>
      </c>
      <c r="O134" s="16">
        <f t="shared" si="48"/>
        <v>0</v>
      </c>
      <c r="Z134" s="16">
        <f t="shared" si="49"/>
        <v>0</v>
      </c>
      <c r="AA134" s="16">
        <f t="shared" si="50"/>
        <v>0</v>
      </c>
      <c r="AB134" s="16">
        <f t="shared" si="51"/>
        <v>0</v>
      </c>
      <c r="AD134" s="32">
        <v>21</v>
      </c>
      <c r="AE134" s="32">
        <f t="shared" si="52"/>
        <v>0</v>
      </c>
      <c r="AF134" s="32">
        <f t="shared" si="53"/>
        <v>0</v>
      </c>
    </row>
    <row r="135" spans="1:32" ht="12.75">
      <c r="A135" s="6" t="s">
        <v>107</v>
      </c>
      <c r="B135" s="6" t="s">
        <v>122</v>
      </c>
      <c r="C135" s="6" t="s">
        <v>228</v>
      </c>
      <c r="D135" s="6" t="s">
        <v>368</v>
      </c>
      <c r="E135" s="6" t="s">
        <v>397</v>
      </c>
      <c r="F135" s="16">
        <v>3</v>
      </c>
      <c r="G135" s="16"/>
      <c r="H135" s="16">
        <f t="shared" si="44"/>
        <v>0</v>
      </c>
      <c r="I135" s="16">
        <f t="shared" si="45"/>
        <v>0</v>
      </c>
      <c r="J135" s="16">
        <f t="shared" si="46"/>
        <v>0</v>
      </c>
      <c r="K135" s="16">
        <v>0.039</v>
      </c>
      <c r="L135" s="16">
        <f t="shared" si="47"/>
        <v>0.11699999999999999</v>
      </c>
      <c r="M135" s="28"/>
      <c r="N135" s="28" t="s">
        <v>124</v>
      </c>
      <c r="O135" s="16">
        <f t="shared" si="48"/>
        <v>0</v>
      </c>
      <c r="Z135" s="16">
        <f t="shared" si="49"/>
        <v>0</v>
      </c>
      <c r="AA135" s="16">
        <f t="shared" si="50"/>
        <v>0</v>
      </c>
      <c r="AB135" s="16">
        <f t="shared" si="51"/>
        <v>0</v>
      </c>
      <c r="AD135" s="32">
        <v>21</v>
      </c>
      <c r="AE135" s="32">
        <f t="shared" si="52"/>
        <v>0</v>
      </c>
      <c r="AF135" s="32">
        <f t="shared" si="53"/>
        <v>0</v>
      </c>
    </row>
    <row r="136" spans="1:32" ht="12.75">
      <c r="A136" s="6" t="s">
        <v>108</v>
      </c>
      <c r="B136" s="6" t="s">
        <v>122</v>
      </c>
      <c r="C136" s="6" t="s">
        <v>229</v>
      </c>
      <c r="D136" s="6" t="s">
        <v>369</v>
      </c>
      <c r="E136" s="6" t="s">
        <v>397</v>
      </c>
      <c r="F136" s="16">
        <v>1</v>
      </c>
      <c r="G136" s="16"/>
      <c r="H136" s="16">
        <f t="shared" si="44"/>
        <v>0</v>
      </c>
      <c r="I136" s="16">
        <f t="shared" si="45"/>
        <v>0</v>
      </c>
      <c r="J136" s="16">
        <f t="shared" si="46"/>
        <v>0</v>
      </c>
      <c r="K136" s="16">
        <v>0.049</v>
      </c>
      <c r="L136" s="16">
        <f t="shared" si="47"/>
        <v>0.049</v>
      </c>
      <c r="M136" s="28"/>
      <c r="N136" s="28" t="s">
        <v>124</v>
      </c>
      <c r="O136" s="16">
        <f t="shared" si="48"/>
        <v>0</v>
      </c>
      <c r="Z136" s="16">
        <f t="shared" si="49"/>
        <v>0</v>
      </c>
      <c r="AA136" s="16">
        <f t="shared" si="50"/>
        <v>0</v>
      </c>
      <c r="AB136" s="16">
        <f t="shared" si="51"/>
        <v>0</v>
      </c>
      <c r="AD136" s="32">
        <v>21</v>
      </c>
      <c r="AE136" s="32">
        <f t="shared" si="52"/>
        <v>0</v>
      </c>
      <c r="AF136" s="32">
        <f t="shared" si="53"/>
        <v>0</v>
      </c>
    </row>
    <row r="137" spans="1:32" ht="12.75">
      <c r="A137" s="6" t="s">
        <v>109</v>
      </c>
      <c r="B137" s="6" t="s">
        <v>122</v>
      </c>
      <c r="C137" s="6" t="s">
        <v>230</v>
      </c>
      <c r="D137" s="6" t="s">
        <v>370</v>
      </c>
      <c r="E137" s="6" t="s">
        <v>397</v>
      </c>
      <c r="F137" s="16">
        <v>3</v>
      </c>
      <c r="G137" s="16"/>
      <c r="H137" s="16">
        <f t="shared" si="44"/>
        <v>0</v>
      </c>
      <c r="I137" s="16">
        <f t="shared" si="45"/>
        <v>0</v>
      </c>
      <c r="J137" s="16">
        <f t="shared" si="46"/>
        <v>0</v>
      </c>
      <c r="K137" s="16">
        <v>0.049</v>
      </c>
      <c r="L137" s="16">
        <f t="shared" si="47"/>
        <v>0.14700000000000002</v>
      </c>
      <c r="M137" s="28"/>
      <c r="N137" s="28" t="s">
        <v>124</v>
      </c>
      <c r="O137" s="16">
        <f t="shared" si="48"/>
        <v>0</v>
      </c>
      <c r="Z137" s="16">
        <f t="shared" si="49"/>
        <v>0</v>
      </c>
      <c r="AA137" s="16">
        <f t="shared" si="50"/>
        <v>0</v>
      </c>
      <c r="AB137" s="16">
        <f t="shared" si="51"/>
        <v>0</v>
      </c>
      <c r="AD137" s="32">
        <v>21</v>
      </c>
      <c r="AE137" s="32">
        <f t="shared" si="52"/>
        <v>0</v>
      </c>
      <c r="AF137" s="32">
        <f t="shared" si="53"/>
        <v>0</v>
      </c>
    </row>
    <row r="138" spans="1:32" ht="12.75">
      <c r="A138" s="6" t="s">
        <v>110</v>
      </c>
      <c r="B138" s="6" t="s">
        <v>122</v>
      </c>
      <c r="C138" s="6" t="s">
        <v>231</v>
      </c>
      <c r="D138" s="6" t="s">
        <v>371</v>
      </c>
      <c r="E138" s="6" t="s">
        <v>397</v>
      </c>
      <c r="F138" s="16">
        <v>1</v>
      </c>
      <c r="G138" s="16"/>
      <c r="H138" s="16">
        <f t="shared" si="44"/>
        <v>0</v>
      </c>
      <c r="I138" s="16">
        <f t="shared" si="45"/>
        <v>0</v>
      </c>
      <c r="J138" s="16">
        <f t="shared" si="46"/>
        <v>0</v>
      </c>
      <c r="K138" s="16">
        <v>0.01</v>
      </c>
      <c r="L138" s="16">
        <f t="shared" si="47"/>
        <v>0.01</v>
      </c>
      <c r="M138" s="28"/>
      <c r="N138" s="28" t="s">
        <v>124</v>
      </c>
      <c r="O138" s="16">
        <f t="shared" si="48"/>
        <v>0</v>
      </c>
      <c r="Z138" s="16">
        <f t="shared" si="49"/>
        <v>0</v>
      </c>
      <c r="AA138" s="16">
        <f t="shared" si="50"/>
        <v>0</v>
      </c>
      <c r="AB138" s="16">
        <f t="shared" si="51"/>
        <v>0</v>
      </c>
      <c r="AD138" s="32">
        <v>21</v>
      </c>
      <c r="AE138" s="32">
        <f t="shared" si="52"/>
        <v>0</v>
      </c>
      <c r="AF138" s="32">
        <f t="shared" si="53"/>
        <v>0</v>
      </c>
    </row>
    <row r="139" spans="1:32" ht="12.75">
      <c r="A139" s="6" t="s">
        <v>111</v>
      </c>
      <c r="B139" s="6" t="s">
        <v>122</v>
      </c>
      <c r="C139" s="6" t="s">
        <v>232</v>
      </c>
      <c r="D139" s="6" t="s">
        <v>372</v>
      </c>
      <c r="E139" s="6" t="s">
        <v>397</v>
      </c>
      <c r="F139" s="16">
        <v>6</v>
      </c>
      <c r="G139" s="16"/>
      <c r="H139" s="16">
        <f t="shared" si="44"/>
        <v>0</v>
      </c>
      <c r="I139" s="16">
        <f t="shared" si="45"/>
        <v>0</v>
      </c>
      <c r="J139" s="16">
        <f t="shared" si="46"/>
        <v>0</v>
      </c>
      <c r="K139" s="16">
        <v>0.001</v>
      </c>
      <c r="L139" s="16">
        <f t="shared" si="47"/>
        <v>0.006</v>
      </c>
      <c r="M139" s="28"/>
      <c r="N139" s="28" t="s">
        <v>124</v>
      </c>
      <c r="O139" s="16">
        <f t="shared" si="48"/>
        <v>0</v>
      </c>
      <c r="Z139" s="16">
        <f t="shared" si="49"/>
        <v>0</v>
      </c>
      <c r="AA139" s="16">
        <f t="shared" si="50"/>
        <v>0</v>
      </c>
      <c r="AB139" s="16">
        <f t="shared" si="51"/>
        <v>0</v>
      </c>
      <c r="AD139" s="32">
        <v>21</v>
      </c>
      <c r="AE139" s="32">
        <f t="shared" si="52"/>
        <v>0</v>
      </c>
      <c r="AF139" s="32">
        <f t="shared" si="53"/>
        <v>0</v>
      </c>
    </row>
    <row r="140" spans="1:32" ht="12.75">
      <c r="A140" s="6" t="s">
        <v>112</v>
      </c>
      <c r="B140" s="6" t="s">
        <v>122</v>
      </c>
      <c r="C140" s="6" t="s">
        <v>233</v>
      </c>
      <c r="D140" s="6" t="s">
        <v>373</v>
      </c>
      <c r="E140" s="6" t="s">
        <v>397</v>
      </c>
      <c r="F140" s="16">
        <v>6</v>
      </c>
      <c r="G140" s="16"/>
      <c r="H140" s="16">
        <f t="shared" si="44"/>
        <v>0</v>
      </c>
      <c r="I140" s="16">
        <f t="shared" si="45"/>
        <v>0</v>
      </c>
      <c r="J140" s="16">
        <f t="shared" si="46"/>
        <v>0</v>
      </c>
      <c r="K140" s="16">
        <v>0.001</v>
      </c>
      <c r="L140" s="16">
        <f t="shared" si="47"/>
        <v>0.006</v>
      </c>
      <c r="M140" s="28"/>
      <c r="N140" s="28" t="s">
        <v>124</v>
      </c>
      <c r="O140" s="16">
        <f t="shared" si="48"/>
        <v>0</v>
      </c>
      <c r="Z140" s="16">
        <f t="shared" si="49"/>
        <v>0</v>
      </c>
      <c r="AA140" s="16">
        <f t="shared" si="50"/>
        <v>0</v>
      </c>
      <c r="AB140" s="16">
        <f t="shared" si="51"/>
        <v>0</v>
      </c>
      <c r="AD140" s="32">
        <v>21</v>
      </c>
      <c r="AE140" s="32">
        <f t="shared" si="52"/>
        <v>0</v>
      </c>
      <c r="AF140" s="32">
        <f t="shared" si="53"/>
        <v>0</v>
      </c>
    </row>
    <row r="141" spans="1:32" ht="12.75">
      <c r="A141" s="6" t="s">
        <v>113</v>
      </c>
      <c r="B141" s="6" t="s">
        <v>122</v>
      </c>
      <c r="C141" s="6" t="s">
        <v>234</v>
      </c>
      <c r="D141" s="6" t="s">
        <v>374</v>
      </c>
      <c r="E141" s="6" t="s">
        <v>397</v>
      </c>
      <c r="F141" s="16">
        <v>6</v>
      </c>
      <c r="G141" s="16"/>
      <c r="H141" s="16">
        <f t="shared" si="44"/>
        <v>0</v>
      </c>
      <c r="I141" s="16">
        <f t="shared" si="45"/>
        <v>0</v>
      </c>
      <c r="J141" s="16">
        <f t="shared" si="46"/>
        <v>0</v>
      </c>
      <c r="K141" s="16">
        <v>0.001</v>
      </c>
      <c r="L141" s="16">
        <f t="shared" si="47"/>
        <v>0.006</v>
      </c>
      <c r="M141" s="28"/>
      <c r="N141" s="28" t="s">
        <v>124</v>
      </c>
      <c r="O141" s="16">
        <f t="shared" si="48"/>
        <v>0</v>
      </c>
      <c r="Z141" s="16">
        <f t="shared" si="49"/>
        <v>0</v>
      </c>
      <c r="AA141" s="16">
        <f t="shared" si="50"/>
        <v>0</v>
      </c>
      <c r="AB141" s="16">
        <f t="shared" si="51"/>
        <v>0</v>
      </c>
      <c r="AD141" s="32">
        <v>21</v>
      </c>
      <c r="AE141" s="32">
        <f t="shared" si="52"/>
        <v>0</v>
      </c>
      <c r="AF141" s="32">
        <f t="shared" si="53"/>
        <v>0</v>
      </c>
    </row>
    <row r="142" spans="1:32" ht="12.75">
      <c r="A142" s="6" t="s">
        <v>114</v>
      </c>
      <c r="B142" s="6" t="s">
        <v>122</v>
      </c>
      <c r="C142" s="6" t="s">
        <v>235</v>
      </c>
      <c r="D142" s="6" t="s">
        <v>375</v>
      </c>
      <c r="E142" s="6" t="s">
        <v>397</v>
      </c>
      <c r="F142" s="16">
        <v>1</v>
      </c>
      <c r="G142" s="16"/>
      <c r="H142" s="16">
        <f t="shared" si="44"/>
        <v>0</v>
      </c>
      <c r="I142" s="16">
        <f t="shared" si="45"/>
        <v>0</v>
      </c>
      <c r="J142" s="16">
        <f t="shared" si="46"/>
        <v>0</v>
      </c>
      <c r="K142" s="16">
        <v>0.276</v>
      </c>
      <c r="L142" s="16">
        <f t="shared" si="47"/>
        <v>0.276</v>
      </c>
      <c r="M142" s="28"/>
      <c r="N142" s="28" t="s">
        <v>124</v>
      </c>
      <c r="O142" s="16">
        <f t="shared" si="48"/>
        <v>0</v>
      </c>
      <c r="Z142" s="16">
        <f t="shared" si="49"/>
        <v>0</v>
      </c>
      <c r="AA142" s="16">
        <f t="shared" si="50"/>
        <v>0</v>
      </c>
      <c r="AB142" s="16">
        <f t="shared" si="51"/>
        <v>0</v>
      </c>
      <c r="AD142" s="32">
        <v>21</v>
      </c>
      <c r="AE142" s="32">
        <f t="shared" si="52"/>
        <v>0</v>
      </c>
      <c r="AF142" s="32">
        <f t="shared" si="53"/>
        <v>0</v>
      </c>
    </row>
    <row r="143" spans="1:32" ht="12.75">
      <c r="A143" s="6" t="s">
        <v>115</v>
      </c>
      <c r="B143" s="6" t="s">
        <v>122</v>
      </c>
      <c r="C143" s="6" t="s">
        <v>236</v>
      </c>
      <c r="D143" s="6" t="s">
        <v>376</v>
      </c>
      <c r="E143" s="6" t="s">
        <v>397</v>
      </c>
      <c r="F143" s="16">
        <v>4</v>
      </c>
      <c r="G143" s="16"/>
      <c r="H143" s="16">
        <f t="shared" si="44"/>
        <v>0</v>
      </c>
      <c r="I143" s="16">
        <f t="shared" si="45"/>
        <v>0</v>
      </c>
      <c r="J143" s="16">
        <f t="shared" si="46"/>
        <v>0</v>
      </c>
      <c r="K143" s="16">
        <v>0.071</v>
      </c>
      <c r="L143" s="16">
        <f t="shared" si="47"/>
        <v>0.284</v>
      </c>
      <c r="M143" s="28"/>
      <c r="N143" s="28" t="s">
        <v>124</v>
      </c>
      <c r="O143" s="16">
        <f t="shared" si="48"/>
        <v>0</v>
      </c>
      <c r="Z143" s="16">
        <f t="shared" si="49"/>
        <v>0</v>
      </c>
      <c r="AA143" s="16">
        <f t="shared" si="50"/>
        <v>0</v>
      </c>
      <c r="AB143" s="16">
        <f t="shared" si="51"/>
        <v>0</v>
      </c>
      <c r="AD143" s="32">
        <v>21</v>
      </c>
      <c r="AE143" s="32">
        <f t="shared" si="52"/>
        <v>0</v>
      </c>
      <c r="AF143" s="32">
        <f t="shared" si="53"/>
        <v>0</v>
      </c>
    </row>
    <row r="144" spans="1:32" ht="12.75">
      <c r="A144" s="6" t="s">
        <v>116</v>
      </c>
      <c r="B144" s="6" t="s">
        <v>122</v>
      </c>
      <c r="C144" s="6" t="s">
        <v>237</v>
      </c>
      <c r="D144" s="6" t="s">
        <v>377</v>
      </c>
      <c r="E144" s="6" t="s">
        <v>397</v>
      </c>
      <c r="F144" s="16">
        <v>1</v>
      </c>
      <c r="G144" s="16"/>
      <c r="H144" s="16">
        <f t="shared" si="44"/>
        <v>0</v>
      </c>
      <c r="I144" s="16">
        <f t="shared" si="45"/>
        <v>0</v>
      </c>
      <c r="J144" s="16">
        <f t="shared" si="46"/>
        <v>0</v>
      </c>
      <c r="K144" s="16">
        <v>0.032</v>
      </c>
      <c r="L144" s="16">
        <f t="shared" si="47"/>
        <v>0.032</v>
      </c>
      <c r="M144" s="28"/>
      <c r="N144" s="28" t="s">
        <v>124</v>
      </c>
      <c r="O144" s="16">
        <f t="shared" si="48"/>
        <v>0</v>
      </c>
      <c r="Z144" s="16">
        <f t="shared" si="49"/>
        <v>0</v>
      </c>
      <c r="AA144" s="16">
        <f t="shared" si="50"/>
        <v>0</v>
      </c>
      <c r="AB144" s="16">
        <f t="shared" si="51"/>
        <v>0</v>
      </c>
      <c r="AD144" s="32">
        <v>21</v>
      </c>
      <c r="AE144" s="32">
        <f t="shared" si="52"/>
        <v>0</v>
      </c>
      <c r="AF144" s="32">
        <f t="shared" si="53"/>
        <v>0</v>
      </c>
    </row>
    <row r="145" spans="1:32" ht="12.75">
      <c r="A145" s="6" t="s">
        <v>117</v>
      </c>
      <c r="B145" s="6" t="s">
        <v>122</v>
      </c>
      <c r="C145" s="6" t="s">
        <v>238</v>
      </c>
      <c r="D145" s="6" t="s">
        <v>378</v>
      </c>
      <c r="E145" s="6" t="s">
        <v>397</v>
      </c>
      <c r="F145" s="16">
        <v>1</v>
      </c>
      <c r="G145" s="16"/>
      <c r="H145" s="16">
        <f t="shared" si="44"/>
        <v>0</v>
      </c>
      <c r="I145" s="16">
        <f t="shared" si="45"/>
        <v>0</v>
      </c>
      <c r="J145" s="16">
        <f t="shared" si="46"/>
        <v>0</v>
      </c>
      <c r="K145" s="16">
        <v>0.0203</v>
      </c>
      <c r="L145" s="16">
        <f t="shared" si="47"/>
        <v>0.0203</v>
      </c>
      <c r="M145" s="28"/>
      <c r="N145" s="28" t="s">
        <v>124</v>
      </c>
      <c r="O145" s="16">
        <f t="shared" si="48"/>
        <v>0</v>
      </c>
      <c r="Z145" s="16">
        <f t="shared" si="49"/>
        <v>0</v>
      </c>
      <c r="AA145" s="16">
        <f t="shared" si="50"/>
        <v>0</v>
      </c>
      <c r="AB145" s="16">
        <f t="shared" si="51"/>
        <v>0</v>
      </c>
      <c r="AD145" s="32">
        <v>21</v>
      </c>
      <c r="AE145" s="32">
        <f t="shared" si="52"/>
        <v>0</v>
      </c>
      <c r="AF145" s="32">
        <f t="shared" si="53"/>
        <v>0</v>
      </c>
    </row>
    <row r="146" spans="1:32" ht="12.75">
      <c r="A146" s="6" t="s">
        <v>118</v>
      </c>
      <c r="B146" s="6" t="s">
        <v>122</v>
      </c>
      <c r="C146" s="6" t="s">
        <v>239</v>
      </c>
      <c r="D146" s="6" t="s">
        <v>379</v>
      </c>
      <c r="E146" s="6" t="s">
        <v>399</v>
      </c>
      <c r="F146" s="16">
        <v>38.45</v>
      </c>
      <c r="G146" s="16"/>
      <c r="H146" s="16">
        <f t="shared" si="44"/>
        <v>0</v>
      </c>
      <c r="I146" s="16">
        <f t="shared" si="45"/>
        <v>0</v>
      </c>
      <c r="J146" s="16">
        <f t="shared" si="46"/>
        <v>0</v>
      </c>
      <c r="K146" s="16">
        <v>0.0001</v>
      </c>
      <c r="L146" s="16">
        <f t="shared" si="47"/>
        <v>0.0038450000000000003</v>
      </c>
      <c r="M146" s="28"/>
      <c r="N146" s="28" t="s">
        <v>124</v>
      </c>
      <c r="O146" s="16">
        <f t="shared" si="48"/>
        <v>0</v>
      </c>
      <c r="Z146" s="16">
        <f t="shared" si="49"/>
        <v>0</v>
      </c>
      <c r="AA146" s="16">
        <f t="shared" si="50"/>
        <v>0</v>
      </c>
      <c r="AB146" s="16">
        <f t="shared" si="51"/>
        <v>0</v>
      </c>
      <c r="AD146" s="32">
        <v>21</v>
      </c>
      <c r="AE146" s="32">
        <f t="shared" si="52"/>
        <v>0</v>
      </c>
      <c r="AF146" s="32">
        <f t="shared" si="53"/>
        <v>0</v>
      </c>
    </row>
    <row r="147" spans="1:32" ht="12.75">
      <c r="A147" s="6" t="s">
        <v>119</v>
      </c>
      <c r="B147" s="6" t="s">
        <v>122</v>
      </c>
      <c r="C147" s="6" t="s">
        <v>240</v>
      </c>
      <c r="D147" s="6" t="s">
        <v>380</v>
      </c>
      <c r="E147" s="6" t="s">
        <v>390</v>
      </c>
      <c r="F147" s="16">
        <v>5.33</v>
      </c>
      <c r="G147" s="16"/>
      <c r="H147" s="16">
        <f t="shared" si="44"/>
        <v>0</v>
      </c>
      <c r="I147" s="16">
        <f t="shared" si="45"/>
        <v>0</v>
      </c>
      <c r="J147" s="16">
        <f t="shared" si="46"/>
        <v>0</v>
      </c>
      <c r="K147" s="16">
        <v>0.0052</v>
      </c>
      <c r="L147" s="16">
        <f t="shared" si="47"/>
        <v>0.027715999999999998</v>
      </c>
      <c r="M147" s="28" t="s">
        <v>418</v>
      </c>
      <c r="N147" s="28" t="s">
        <v>124</v>
      </c>
      <c r="O147" s="16">
        <f t="shared" si="48"/>
        <v>0</v>
      </c>
      <c r="Z147" s="16">
        <f t="shared" si="49"/>
        <v>0</v>
      </c>
      <c r="AA147" s="16">
        <f t="shared" si="50"/>
        <v>0</v>
      </c>
      <c r="AB147" s="16">
        <f t="shared" si="51"/>
        <v>0</v>
      </c>
      <c r="AD147" s="32">
        <v>21</v>
      </c>
      <c r="AE147" s="32">
        <f t="shared" si="52"/>
        <v>0</v>
      </c>
      <c r="AF147" s="32">
        <f t="shared" si="53"/>
        <v>0</v>
      </c>
    </row>
    <row r="148" spans="1:32" ht="12.75">
      <c r="A148" s="7" t="s">
        <v>120</v>
      </c>
      <c r="B148" s="7" t="s">
        <v>122</v>
      </c>
      <c r="C148" s="7" t="s">
        <v>241</v>
      </c>
      <c r="D148" s="7" t="s">
        <v>381</v>
      </c>
      <c r="E148" s="7" t="s">
        <v>391</v>
      </c>
      <c r="F148" s="17">
        <v>1</v>
      </c>
      <c r="G148" s="17"/>
      <c r="H148" s="17">
        <f t="shared" si="44"/>
        <v>0</v>
      </c>
      <c r="I148" s="17">
        <f t="shared" si="45"/>
        <v>0</v>
      </c>
      <c r="J148" s="17">
        <f t="shared" si="46"/>
        <v>0</v>
      </c>
      <c r="K148" s="17">
        <v>0.00756</v>
      </c>
      <c r="L148" s="17">
        <f t="shared" si="47"/>
        <v>0.00756</v>
      </c>
      <c r="M148" s="29" t="s">
        <v>418</v>
      </c>
      <c r="N148" s="28" t="s">
        <v>124</v>
      </c>
      <c r="O148" s="16">
        <f t="shared" si="48"/>
        <v>0</v>
      </c>
      <c r="Z148" s="16">
        <f t="shared" si="49"/>
        <v>0</v>
      </c>
      <c r="AA148" s="16">
        <f t="shared" si="50"/>
        <v>0</v>
      </c>
      <c r="AB148" s="16">
        <f t="shared" si="51"/>
        <v>0</v>
      </c>
      <c r="AD148" s="32">
        <v>21</v>
      </c>
      <c r="AE148" s="32">
        <f t="shared" si="52"/>
        <v>0</v>
      </c>
      <c r="AF148" s="32">
        <f t="shared" si="53"/>
        <v>0</v>
      </c>
    </row>
    <row r="149" spans="1:28" ht="12.75">
      <c r="A149" s="8"/>
      <c r="B149" s="8"/>
      <c r="C149" s="8"/>
      <c r="D149" s="8"/>
      <c r="E149" s="8"/>
      <c r="F149" s="8"/>
      <c r="G149" s="8"/>
      <c r="H149" s="59" t="s">
        <v>405</v>
      </c>
      <c r="I149" s="60"/>
      <c r="J149" s="35">
        <f>J13+J15+J25+J27+J39+J42+J51+J55+J57+J59+J64+J67+J71+J74+J76+J86+J105+J108+J110+J113+J115+J117</f>
        <v>0</v>
      </c>
      <c r="K149" s="8"/>
      <c r="L149" s="8"/>
      <c r="M149" s="8"/>
      <c r="Z149" s="36">
        <f>SUM(Z13:Z148)</f>
        <v>0</v>
      </c>
      <c r="AA149" s="36">
        <f>SUM(AA13:AA148)</f>
        <v>0</v>
      </c>
      <c r="AB149" s="36">
        <f>SUM(AB13:AB148)</f>
        <v>0</v>
      </c>
    </row>
  </sheetData>
  <sheetProtection/>
  <mergeCells count="51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3:G13"/>
    <mergeCell ref="D15:G15"/>
    <mergeCell ref="D25:G25"/>
    <mergeCell ref="D27:G27"/>
    <mergeCell ref="D39:G39"/>
    <mergeCell ref="D42:G42"/>
    <mergeCell ref="D51:G51"/>
    <mergeCell ref="D55:G55"/>
    <mergeCell ref="D57:G57"/>
    <mergeCell ref="D59:G59"/>
    <mergeCell ref="D64:G64"/>
    <mergeCell ref="D67:G67"/>
    <mergeCell ref="D71:G71"/>
    <mergeCell ref="D74:G74"/>
    <mergeCell ref="D76:G76"/>
    <mergeCell ref="D117:G117"/>
    <mergeCell ref="H149:I149"/>
    <mergeCell ref="D86:G86"/>
    <mergeCell ref="D105:G105"/>
    <mergeCell ref="D108:G108"/>
    <mergeCell ref="D110:G110"/>
    <mergeCell ref="D113:G113"/>
    <mergeCell ref="D115:G11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71.42187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21.75" customHeight="1">
      <c r="A1" s="76" t="s">
        <v>432</v>
      </c>
      <c r="B1" s="77"/>
      <c r="C1" s="77"/>
      <c r="D1" s="77"/>
      <c r="E1" s="77"/>
      <c r="F1" s="77"/>
      <c r="G1" s="77"/>
      <c r="H1" s="77"/>
    </row>
    <row r="2" spans="1:9" ht="12.75">
      <c r="A2" s="78" t="s">
        <v>1</v>
      </c>
      <c r="B2" s="79"/>
      <c r="C2" s="80" t="s">
        <v>242</v>
      </c>
      <c r="D2" s="60"/>
      <c r="E2" s="83" t="s">
        <v>406</v>
      </c>
      <c r="F2" s="83" t="s">
        <v>411</v>
      </c>
      <c r="G2" s="79"/>
      <c r="H2" s="84"/>
      <c r="I2" s="30"/>
    </row>
    <row r="3" spans="1:9" ht="12.75">
      <c r="A3" s="75"/>
      <c r="B3" s="67"/>
      <c r="C3" s="81"/>
      <c r="D3" s="81"/>
      <c r="E3" s="67"/>
      <c r="F3" s="67"/>
      <c r="G3" s="67"/>
      <c r="H3" s="73"/>
      <c r="I3" s="30"/>
    </row>
    <row r="4" spans="1:9" ht="12.75">
      <c r="A4" s="66" t="s">
        <v>2</v>
      </c>
      <c r="B4" s="67"/>
      <c r="C4" s="70" t="s">
        <v>243</v>
      </c>
      <c r="D4" s="67"/>
      <c r="E4" s="70" t="s">
        <v>407</v>
      </c>
      <c r="F4" s="70" t="s">
        <v>412</v>
      </c>
      <c r="G4" s="67"/>
      <c r="H4" s="73"/>
      <c r="I4" s="30"/>
    </row>
    <row r="5" spans="1:9" ht="12.75">
      <c r="A5" s="75"/>
      <c r="B5" s="67"/>
      <c r="C5" s="67"/>
      <c r="D5" s="67"/>
      <c r="E5" s="67"/>
      <c r="F5" s="67"/>
      <c r="G5" s="67"/>
      <c r="H5" s="73"/>
      <c r="I5" s="30"/>
    </row>
    <row r="6" spans="1:9" ht="12.75">
      <c r="A6" s="66" t="s">
        <v>3</v>
      </c>
      <c r="B6" s="67"/>
      <c r="C6" s="70" t="s">
        <v>244</v>
      </c>
      <c r="D6" s="67"/>
      <c r="E6" s="70" t="s">
        <v>408</v>
      </c>
      <c r="F6" s="70"/>
      <c r="G6" s="67"/>
      <c r="H6" s="73"/>
      <c r="I6" s="30"/>
    </row>
    <row r="7" spans="1:9" ht="12.75">
      <c r="A7" s="75"/>
      <c r="B7" s="67"/>
      <c r="C7" s="67"/>
      <c r="D7" s="67"/>
      <c r="E7" s="67"/>
      <c r="F7" s="67"/>
      <c r="G7" s="67"/>
      <c r="H7" s="73"/>
      <c r="I7" s="30"/>
    </row>
    <row r="8" spans="1:9" ht="12.75">
      <c r="A8" s="66" t="s">
        <v>409</v>
      </c>
      <c r="B8" s="67"/>
      <c r="C8" s="70" t="s">
        <v>413</v>
      </c>
      <c r="D8" s="67"/>
      <c r="E8" s="71" t="s">
        <v>385</v>
      </c>
      <c r="F8" s="72">
        <v>41457</v>
      </c>
      <c r="G8" s="67"/>
      <c r="H8" s="73"/>
      <c r="I8" s="30"/>
    </row>
    <row r="9" spans="1:9" ht="12.75">
      <c r="A9" s="68"/>
      <c r="B9" s="69"/>
      <c r="C9" s="69"/>
      <c r="D9" s="69"/>
      <c r="E9" s="69"/>
      <c r="F9" s="69"/>
      <c r="G9" s="69"/>
      <c r="H9" s="74"/>
      <c r="I9" s="30"/>
    </row>
    <row r="10" spans="1:9" ht="12.75">
      <c r="A10" s="38" t="s">
        <v>5</v>
      </c>
      <c r="B10" s="39" t="s">
        <v>121</v>
      </c>
      <c r="C10" s="39" t="s">
        <v>123</v>
      </c>
      <c r="D10" s="39" t="s">
        <v>245</v>
      </c>
      <c r="E10" s="39" t="s">
        <v>386</v>
      </c>
      <c r="F10" s="39" t="s">
        <v>246</v>
      </c>
      <c r="G10" s="42" t="s">
        <v>400</v>
      </c>
      <c r="H10" s="37" t="s">
        <v>481</v>
      </c>
      <c r="I10" s="31"/>
    </row>
    <row r="11" spans="1:8" ht="12.75">
      <c r="A11" s="41" t="s">
        <v>7</v>
      </c>
      <c r="B11" s="41" t="s">
        <v>122</v>
      </c>
      <c r="C11" s="41" t="s">
        <v>125</v>
      </c>
      <c r="D11" s="41" t="s">
        <v>249</v>
      </c>
      <c r="E11" s="41" t="s">
        <v>387</v>
      </c>
      <c r="F11" s="41" t="s">
        <v>7</v>
      </c>
      <c r="G11" s="43">
        <v>1</v>
      </c>
      <c r="H11" s="44" t="s">
        <v>418</v>
      </c>
    </row>
    <row r="12" spans="1:8" ht="12.75">
      <c r="A12" s="5" t="s">
        <v>8</v>
      </c>
      <c r="B12" s="5" t="s">
        <v>122</v>
      </c>
      <c r="C12" s="5" t="s">
        <v>126</v>
      </c>
      <c r="D12" s="5" t="s">
        <v>251</v>
      </c>
      <c r="E12" s="5" t="s">
        <v>387</v>
      </c>
      <c r="F12" s="5" t="s">
        <v>433</v>
      </c>
      <c r="G12" s="15">
        <v>2</v>
      </c>
      <c r="H12" s="27" t="s">
        <v>418</v>
      </c>
    </row>
    <row r="13" spans="1:8" ht="12.75">
      <c r="A13" s="5" t="s">
        <v>9</v>
      </c>
      <c r="B13" s="5" t="s">
        <v>122</v>
      </c>
      <c r="C13" s="5" t="s">
        <v>127</v>
      </c>
      <c r="D13" s="5" t="s">
        <v>252</v>
      </c>
      <c r="E13" s="5" t="s">
        <v>387</v>
      </c>
      <c r="F13" s="5" t="s">
        <v>434</v>
      </c>
      <c r="G13" s="15">
        <v>5</v>
      </c>
      <c r="H13" s="27" t="s">
        <v>418</v>
      </c>
    </row>
    <row r="14" spans="1:8" ht="12.75">
      <c r="A14" s="5" t="s">
        <v>10</v>
      </c>
      <c r="B14" s="5" t="s">
        <v>122</v>
      </c>
      <c r="C14" s="5" t="s">
        <v>128</v>
      </c>
      <c r="D14" s="5" t="s">
        <v>253</v>
      </c>
      <c r="E14" s="5" t="s">
        <v>388</v>
      </c>
      <c r="F14" s="5" t="s">
        <v>21</v>
      </c>
      <c r="G14" s="15">
        <v>15</v>
      </c>
      <c r="H14" s="27" t="s">
        <v>418</v>
      </c>
    </row>
    <row r="15" spans="1:8" ht="12.75">
      <c r="A15" s="5" t="s">
        <v>11</v>
      </c>
      <c r="B15" s="5" t="s">
        <v>122</v>
      </c>
      <c r="C15" s="5" t="s">
        <v>129</v>
      </c>
      <c r="D15" s="5" t="s">
        <v>254</v>
      </c>
      <c r="E15" s="5" t="s">
        <v>389</v>
      </c>
      <c r="F15" s="5" t="s">
        <v>9</v>
      </c>
      <c r="G15" s="15">
        <v>3</v>
      </c>
      <c r="H15" s="27" t="s">
        <v>418</v>
      </c>
    </row>
    <row r="16" spans="1:8" ht="12.75">
      <c r="A16" s="5" t="s">
        <v>12</v>
      </c>
      <c r="B16" s="5" t="s">
        <v>122</v>
      </c>
      <c r="C16" s="5" t="s">
        <v>130</v>
      </c>
      <c r="D16" s="5" t="s">
        <v>255</v>
      </c>
      <c r="E16" s="5" t="s">
        <v>390</v>
      </c>
      <c r="F16" s="5" t="s">
        <v>435</v>
      </c>
      <c r="G16" s="15">
        <v>24.2</v>
      </c>
      <c r="H16" s="27" t="s">
        <v>418</v>
      </c>
    </row>
    <row r="17" spans="1:8" ht="12.75">
      <c r="A17" s="5" t="s">
        <v>13</v>
      </c>
      <c r="B17" s="5" t="s">
        <v>122</v>
      </c>
      <c r="C17" s="5" t="s">
        <v>131</v>
      </c>
      <c r="D17" s="5" t="s">
        <v>256</v>
      </c>
      <c r="E17" s="5" t="s">
        <v>390</v>
      </c>
      <c r="F17" s="5" t="s">
        <v>436</v>
      </c>
      <c r="G17" s="15">
        <v>55.17</v>
      </c>
      <c r="H17" s="27" t="s">
        <v>418</v>
      </c>
    </row>
    <row r="18" spans="1:8" ht="12.75">
      <c r="A18" s="5" t="s">
        <v>14</v>
      </c>
      <c r="B18" s="5" t="s">
        <v>122</v>
      </c>
      <c r="C18" s="5" t="s">
        <v>132</v>
      </c>
      <c r="D18" s="5" t="s">
        <v>257</v>
      </c>
      <c r="E18" s="5" t="s">
        <v>390</v>
      </c>
      <c r="F18" s="5" t="s">
        <v>437</v>
      </c>
      <c r="G18" s="15">
        <v>30.97</v>
      </c>
      <c r="H18" s="27" t="s">
        <v>418</v>
      </c>
    </row>
    <row r="19" spans="1:8" ht="12.75">
      <c r="A19" s="5" t="s">
        <v>15</v>
      </c>
      <c r="B19" s="5" t="s">
        <v>122</v>
      </c>
      <c r="C19" s="5" t="s">
        <v>133</v>
      </c>
      <c r="D19" s="5" t="s">
        <v>258</v>
      </c>
      <c r="E19" s="5" t="s">
        <v>390</v>
      </c>
      <c r="F19" s="5" t="s">
        <v>435</v>
      </c>
      <c r="G19" s="15">
        <v>24.2</v>
      </c>
      <c r="H19" s="27" t="s">
        <v>418</v>
      </c>
    </row>
    <row r="20" spans="1:8" ht="12.75">
      <c r="A20" s="5" t="s">
        <v>16</v>
      </c>
      <c r="B20" s="5" t="s">
        <v>122</v>
      </c>
      <c r="C20" s="5" t="s">
        <v>134</v>
      </c>
      <c r="D20" s="5" t="s">
        <v>259</v>
      </c>
      <c r="E20" s="5" t="s">
        <v>390</v>
      </c>
      <c r="F20" s="5" t="s">
        <v>438</v>
      </c>
      <c r="G20" s="15">
        <v>0.95</v>
      </c>
      <c r="H20" s="27" t="s">
        <v>418</v>
      </c>
    </row>
    <row r="21" spans="1:8" ht="12.75">
      <c r="A21" s="5" t="s">
        <v>17</v>
      </c>
      <c r="B21" s="5" t="s">
        <v>122</v>
      </c>
      <c r="C21" s="5" t="s">
        <v>135</v>
      </c>
      <c r="D21" s="5" t="s">
        <v>260</v>
      </c>
      <c r="E21" s="5" t="s">
        <v>391</v>
      </c>
      <c r="F21" s="5" t="s">
        <v>8</v>
      </c>
      <c r="G21" s="15">
        <v>2</v>
      </c>
      <c r="H21" s="27"/>
    </row>
    <row r="22" spans="1:8" ht="12.75">
      <c r="A22" s="5" t="s">
        <v>18</v>
      </c>
      <c r="B22" s="5" t="s">
        <v>122</v>
      </c>
      <c r="C22" s="5" t="s">
        <v>136</v>
      </c>
      <c r="D22" s="5" t="s">
        <v>262</v>
      </c>
      <c r="E22" s="5" t="s">
        <v>392</v>
      </c>
      <c r="F22" s="5" t="s">
        <v>439</v>
      </c>
      <c r="G22" s="15">
        <v>26.6</v>
      </c>
      <c r="H22" s="27" t="s">
        <v>418</v>
      </c>
    </row>
    <row r="23" spans="1:8" ht="12.75">
      <c r="A23" s="5" t="s">
        <v>19</v>
      </c>
      <c r="B23" s="5" t="s">
        <v>122</v>
      </c>
      <c r="C23" s="5" t="s">
        <v>137</v>
      </c>
      <c r="D23" s="5" t="s">
        <v>263</v>
      </c>
      <c r="E23" s="5" t="s">
        <v>392</v>
      </c>
      <c r="F23" s="5" t="s">
        <v>440</v>
      </c>
      <c r="G23" s="15">
        <v>82.95</v>
      </c>
      <c r="H23" s="27" t="s">
        <v>418</v>
      </c>
    </row>
    <row r="24" spans="1:8" ht="12.75">
      <c r="A24" s="5" t="s">
        <v>20</v>
      </c>
      <c r="B24" s="5" t="s">
        <v>122</v>
      </c>
      <c r="C24" s="5" t="s">
        <v>138</v>
      </c>
      <c r="D24" s="5" t="s">
        <v>264</v>
      </c>
      <c r="E24" s="5" t="s">
        <v>392</v>
      </c>
      <c r="F24" s="5" t="s">
        <v>440</v>
      </c>
      <c r="G24" s="15">
        <v>82.95</v>
      </c>
      <c r="H24" s="27" t="s">
        <v>418</v>
      </c>
    </row>
    <row r="25" spans="1:8" ht="12.75">
      <c r="A25" s="5" t="s">
        <v>21</v>
      </c>
      <c r="B25" s="5" t="s">
        <v>122</v>
      </c>
      <c r="C25" s="5" t="s">
        <v>139</v>
      </c>
      <c r="D25" s="5" t="s">
        <v>265</v>
      </c>
      <c r="E25" s="5" t="s">
        <v>392</v>
      </c>
      <c r="F25" s="5" t="s">
        <v>441</v>
      </c>
      <c r="G25" s="15">
        <v>118.5</v>
      </c>
      <c r="H25" s="27" t="s">
        <v>418</v>
      </c>
    </row>
    <row r="26" spans="1:8" ht="12.75">
      <c r="A26" s="5" t="s">
        <v>22</v>
      </c>
      <c r="B26" s="5" t="s">
        <v>122</v>
      </c>
      <c r="C26" s="5" t="s">
        <v>140</v>
      </c>
      <c r="D26" s="5" t="s">
        <v>266</v>
      </c>
      <c r="E26" s="5" t="s">
        <v>392</v>
      </c>
      <c r="F26" s="5" t="s">
        <v>441</v>
      </c>
      <c r="G26" s="15">
        <v>118.5</v>
      </c>
      <c r="H26" s="27" t="s">
        <v>418</v>
      </c>
    </row>
    <row r="27" spans="1:8" ht="12.75">
      <c r="A27" s="5" t="s">
        <v>23</v>
      </c>
      <c r="B27" s="5" t="s">
        <v>122</v>
      </c>
      <c r="C27" s="5" t="s">
        <v>141</v>
      </c>
      <c r="D27" s="5" t="s">
        <v>267</v>
      </c>
      <c r="E27" s="5" t="s">
        <v>392</v>
      </c>
      <c r="F27" s="5" t="s">
        <v>442</v>
      </c>
      <c r="G27" s="15">
        <v>35.55</v>
      </c>
      <c r="H27" s="27" t="s">
        <v>418</v>
      </c>
    </row>
    <row r="28" spans="1:8" ht="12.75">
      <c r="A28" s="5" t="s">
        <v>24</v>
      </c>
      <c r="B28" s="5" t="s">
        <v>122</v>
      </c>
      <c r="C28" s="5" t="s">
        <v>142</v>
      </c>
      <c r="D28" s="5" t="s">
        <v>268</v>
      </c>
      <c r="E28" s="5" t="s">
        <v>392</v>
      </c>
      <c r="F28" s="5" t="s">
        <v>443</v>
      </c>
      <c r="G28" s="15">
        <v>18.04</v>
      </c>
      <c r="H28" s="27" t="s">
        <v>418</v>
      </c>
    </row>
    <row r="29" spans="1:8" ht="12.75">
      <c r="A29" s="5" t="s">
        <v>25</v>
      </c>
      <c r="B29" s="5" t="s">
        <v>122</v>
      </c>
      <c r="C29" s="5" t="s">
        <v>143</v>
      </c>
      <c r="D29" s="5" t="s">
        <v>269</v>
      </c>
      <c r="E29" s="5" t="s">
        <v>392</v>
      </c>
      <c r="F29" s="5" t="s">
        <v>443</v>
      </c>
      <c r="G29" s="15">
        <v>18.04</v>
      </c>
      <c r="H29" s="27" t="s">
        <v>418</v>
      </c>
    </row>
    <row r="30" spans="1:8" ht="12.75">
      <c r="A30" s="5" t="s">
        <v>26</v>
      </c>
      <c r="B30" s="5" t="s">
        <v>122</v>
      </c>
      <c r="C30" s="5" t="s">
        <v>144</v>
      </c>
      <c r="D30" s="5" t="s">
        <v>270</v>
      </c>
      <c r="E30" s="5" t="s">
        <v>392</v>
      </c>
      <c r="F30" s="5" t="s">
        <v>444</v>
      </c>
      <c r="G30" s="15">
        <v>25.78</v>
      </c>
      <c r="H30" s="27" t="s">
        <v>418</v>
      </c>
    </row>
    <row r="31" spans="1:8" ht="12.75">
      <c r="A31" s="5" t="s">
        <v>27</v>
      </c>
      <c r="B31" s="5" t="s">
        <v>122</v>
      </c>
      <c r="C31" s="5" t="s">
        <v>145</v>
      </c>
      <c r="D31" s="5" t="s">
        <v>271</v>
      </c>
      <c r="E31" s="5" t="s">
        <v>392</v>
      </c>
      <c r="F31" s="5" t="s">
        <v>444</v>
      </c>
      <c r="G31" s="15">
        <v>25.78</v>
      </c>
      <c r="H31" s="27" t="s">
        <v>418</v>
      </c>
    </row>
    <row r="32" spans="1:8" ht="12.75">
      <c r="A32" s="5" t="s">
        <v>28</v>
      </c>
      <c r="B32" s="5" t="s">
        <v>122</v>
      </c>
      <c r="C32" s="5" t="s">
        <v>146</v>
      </c>
      <c r="D32" s="5" t="s">
        <v>272</v>
      </c>
      <c r="E32" s="5" t="s">
        <v>392</v>
      </c>
      <c r="F32" s="5" t="s">
        <v>445</v>
      </c>
      <c r="G32" s="15">
        <v>7.73</v>
      </c>
      <c r="H32" s="27" t="s">
        <v>418</v>
      </c>
    </row>
    <row r="33" spans="1:8" ht="12.75">
      <c r="A33" s="5" t="s">
        <v>29</v>
      </c>
      <c r="B33" s="5" t="s">
        <v>122</v>
      </c>
      <c r="C33" s="5" t="s">
        <v>147</v>
      </c>
      <c r="D33" s="5" t="s">
        <v>274</v>
      </c>
      <c r="E33" s="5" t="s">
        <v>390</v>
      </c>
      <c r="F33" s="5" t="s">
        <v>446</v>
      </c>
      <c r="G33" s="15">
        <v>476.3</v>
      </c>
      <c r="H33" s="27" t="s">
        <v>418</v>
      </c>
    </row>
    <row r="34" spans="1:8" ht="12.75">
      <c r="A34" s="5" t="s">
        <v>30</v>
      </c>
      <c r="B34" s="5" t="s">
        <v>122</v>
      </c>
      <c r="C34" s="5" t="s">
        <v>148</v>
      </c>
      <c r="D34" s="5" t="s">
        <v>275</v>
      </c>
      <c r="E34" s="5" t="s">
        <v>390</v>
      </c>
      <c r="F34" s="5" t="s">
        <v>446</v>
      </c>
      <c r="G34" s="15">
        <v>476.3</v>
      </c>
      <c r="H34" s="27" t="s">
        <v>418</v>
      </c>
    </row>
    <row r="35" spans="1:8" ht="12.75">
      <c r="A35" s="5" t="s">
        <v>31</v>
      </c>
      <c r="B35" s="5" t="s">
        <v>122</v>
      </c>
      <c r="C35" s="5" t="s">
        <v>149</v>
      </c>
      <c r="D35" s="5" t="s">
        <v>277</v>
      </c>
      <c r="E35" s="5" t="s">
        <v>392</v>
      </c>
      <c r="F35" s="5" t="s">
        <v>447</v>
      </c>
      <c r="G35" s="15">
        <v>100.73</v>
      </c>
      <c r="H35" s="27" t="s">
        <v>418</v>
      </c>
    </row>
    <row r="36" spans="1:7" ht="12.75">
      <c r="A36" s="5"/>
      <c r="B36" s="5"/>
      <c r="C36" s="5"/>
      <c r="D36" s="5"/>
      <c r="E36" s="5"/>
      <c r="F36" s="5"/>
      <c r="G36" s="15">
        <v>0</v>
      </c>
    </row>
    <row r="37" spans="1:8" ht="12.75">
      <c r="A37" s="5" t="s">
        <v>32</v>
      </c>
      <c r="B37" s="5" t="s">
        <v>122</v>
      </c>
      <c r="C37" s="5" t="s">
        <v>150</v>
      </c>
      <c r="D37" s="5" t="s">
        <v>278</v>
      </c>
      <c r="E37" s="5" t="s">
        <v>392</v>
      </c>
      <c r="F37" s="5" t="s">
        <v>448</v>
      </c>
      <c r="G37" s="15">
        <v>17.78</v>
      </c>
      <c r="H37" s="27" t="s">
        <v>418</v>
      </c>
    </row>
    <row r="38" spans="1:8" ht="12.75">
      <c r="A38" s="5" t="s">
        <v>33</v>
      </c>
      <c r="B38" s="5" t="s">
        <v>122</v>
      </c>
      <c r="C38" s="5" t="s">
        <v>151</v>
      </c>
      <c r="D38" s="5" t="s">
        <v>279</v>
      </c>
      <c r="E38" s="5" t="s">
        <v>392</v>
      </c>
      <c r="F38" s="5" t="s">
        <v>449</v>
      </c>
      <c r="G38" s="15">
        <v>61.06</v>
      </c>
      <c r="H38" s="27" t="s">
        <v>418</v>
      </c>
    </row>
    <row r="39" spans="1:8" ht="12.75">
      <c r="A39" s="5" t="s">
        <v>34</v>
      </c>
      <c r="B39" s="5" t="s">
        <v>122</v>
      </c>
      <c r="C39" s="5" t="s">
        <v>152</v>
      </c>
      <c r="D39" s="5" t="s">
        <v>280</v>
      </c>
      <c r="E39" s="5" t="s">
        <v>392</v>
      </c>
      <c r="F39" s="5" t="s">
        <v>450</v>
      </c>
      <c r="G39" s="15">
        <v>10.77</v>
      </c>
      <c r="H39" s="27" t="s">
        <v>418</v>
      </c>
    </row>
    <row r="40" spans="1:8" ht="12.75">
      <c r="A40" s="5" t="s">
        <v>35</v>
      </c>
      <c r="B40" s="5" t="s">
        <v>122</v>
      </c>
      <c r="C40" s="5" t="s">
        <v>153</v>
      </c>
      <c r="D40" s="5" t="s">
        <v>281</v>
      </c>
      <c r="E40" s="5" t="s">
        <v>392</v>
      </c>
      <c r="F40" s="5" t="s">
        <v>451</v>
      </c>
      <c r="G40" s="15">
        <v>63.81</v>
      </c>
      <c r="H40" s="27" t="s">
        <v>418</v>
      </c>
    </row>
    <row r="41" spans="1:8" ht="12.75">
      <c r="A41" s="5" t="s">
        <v>36</v>
      </c>
      <c r="B41" s="5" t="s">
        <v>122</v>
      </c>
      <c r="C41" s="5" t="s">
        <v>154</v>
      </c>
      <c r="D41" s="5" t="s">
        <v>282</v>
      </c>
      <c r="E41" s="5" t="s">
        <v>392</v>
      </c>
      <c r="F41" s="5" t="s">
        <v>452</v>
      </c>
      <c r="G41" s="15">
        <v>11.26</v>
      </c>
      <c r="H41" s="27" t="s">
        <v>418</v>
      </c>
    </row>
    <row r="42" spans="1:8" ht="12.75">
      <c r="A42" s="5" t="s">
        <v>37</v>
      </c>
      <c r="B42" s="5" t="s">
        <v>122</v>
      </c>
      <c r="C42" s="5" t="s">
        <v>155</v>
      </c>
      <c r="D42" s="5" t="s">
        <v>283</v>
      </c>
      <c r="E42" s="5" t="s">
        <v>392</v>
      </c>
      <c r="F42" s="5" t="s">
        <v>451</v>
      </c>
      <c r="G42" s="15">
        <v>63.81</v>
      </c>
      <c r="H42" s="27" t="s">
        <v>418</v>
      </c>
    </row>
    <row r="43" spans="1:8" ht="12.75">
      <c r="A43" s="5" t="s">
        <v>38</v>
      </c>
      <c r="B43" s="5" t="s">
        <v>122</v>
      </c>
      <c r="C43" s="5" t="s">
        <v>156</v>
      </c>
      <c r="D43" s="5" t="s">
        <v>284</v>
      </c>
      <c r="E43" s="5" t="s">
        <v>392</v>
      </c>
      <c r="F43" s="5" t="s">
        <v>452</v>
      </c>
      <c r="G43" s="15">
        <v>11.26</v>
      </c>
      <c r="H43" s="27" t="s">
        <v>418</v>
      </c>
    </row>
    <row r="44" spans="1:8" ht="12.75">
      <c r="A44" s="5" t="s">
        <v>39</v>
      </c>
      <c r="B44" s="5" t="s">
        <v>122</v>
      </c>
      <c r="C44" s="5" t="s">
        <v>158</v>
      </c>
      <c r="D44" s="5" t="s">
        <v>287</v>
      </c>
      <c r="E44" s="5" t="s">
        <v>392</v>
      </c>
      <c r="F44" s="5" t="s">
        <v>453</v>
      </c>
      <c r="G44" s="15">
        <v>71.83</v>
      </c>
      <c r="H44" s="27" t="s">
        <v>418</v>
      </c>
    </row>
    <row r="45" spans="1:7" ht="12.75">
      <c r="A45" s="5"/>
      <c r="B45" s="5"/>
      <c r="C45" s="5"/>
      <c r="D45" s="5"/>
      <c r="E45" s="5"/>
      <c r="F45" s="5" t="s">
        <v>454</v>
      </c>
      <c r="G45" s="15">
        <v>13.9</v>
      </c>
    </row>
    <row r="46" spans="1:7" ht="12.75">
      <c r="A46" s="5"/>
      <c r="B46" s="5"/>
      <c r="C46" s="5"/>
      <c r="D46" s="5"/>
      <c r="E46" s="5"/>
      <c r="F46" s="5" t="s">
        <v>455</v>
      </c>
      <c r="G46" s="15">
        <v>20.04</v>
      </c>
    </row>
    <row r="47" spans="1:7" ht="12.75">
      <c r="A47" s="5"/>
      <c r="B47" s="5"/>
      <c r="C47" s="5"/>
      <c r="D47" s="5"/>
      <c r="E47" s="5"/>
      <c r="F47" s="5" t="s">
        <v>456</v>
      </c>
      <c r="G47" s="15">
        <v>27.18</v>
      </c>
    </row>
    <row r="48" spans="1:8" ht="12.75">
      <c r="A48" s="5" t="s">
        <v>40</v>
      </c>
      <c r="B48" s="5" t="s">
        <v>122</v>
      </c>
      <c r="C48" s="5" t="s">
        <v>159</v>
      </c>
      <c r="D48" s="5" t="s">
        <v>288</v>
      </c>
      <c r="E48" s="5" t="s">
        <v>392</v>
      </c>
      <c r="F48" s="5" t="s">
        <v>457</v>
      </c>
      <c r="G48" s="15">
        <v>161.93</v>
      </c>
      <c r="H48" s="27" t="s">
        <v>418</v>
      </c>
    </row>
    <row r="49" spans="1:8" ht="12.75">
      <c r="A49" s="5" t="s">
        <v>41</v>
      </c>
      <c r="B49" s="5" t="s">
        <v>122</v>
      </c>
      <c r="C49" s="5" t="s">
        <v>160</v>
      </c>
      <c r="D49" s="5" t="s">
        <v>290</v>
      </c>
      <c r="E49" s="5" t="s">
        <v>390</v>
      </c>
      <c r="F49" s="5" t="s">
        <v>458</v>
      </c>
      <c r="G49" s="15">
        <v>45.1</v>
      </c>
      <c r="H49" s="27" t="s">
        <v>418</v>
      </c>
    </row>
    <row r="50" spans="1:8" ht="12.75">
      <c r="A50" s="5" t="s">
        <v>42</v>
      </c>
      <c r="B50" s="5" t="s">
        <v>122</v>
      </c>
      <c r="C50" s="5" t="s">
        <v>161</v>
      </c>
      <c r="D50" s="5" t="s">
        <v>292</v>
      </c>
      <c r="E50" s="5" t="s">
        <v>387</v>
      </c>
      <c r="F50" s="5" t="s">
        <v>459</v>
      </c>
      <c r="G50" s="15">
        <v>95.3</v>
      </c>
      <c r="H50" s="27" t="s">
        <v>418</v>
      </c>
    </row>
    <row r="51" spans="1:8" ht="12.75">
      <c r="A51" s="5" t="s">
        <v>43</v>
      </c>
      <c r="B51" s="5" t="s">
        <v>122</v>
      </c>
      <c r="C51" s="5" t="s">
        <v>162</v>
      </c>
      <c r="D51" s="5" t="s">
        <v>294</v>
      </c>
      <c r="E51" s="5" t="s">
        <v>392</v>
      </c>
      <c r="F51" s="5" t="s">
        <v>460</v>
      </c>
      <c r="G51" s="15">
        <v>12.13</v>
      </c>
      <c r="H51" s="27" t="s">
        <v>418</v>
      </c>
    </row>
    <row r="52" spans="1:8" ht="12.75">
      <c r="A52" s="5" t="s">
        <v>44</v>
      </c>
      <c r="B52" s="5" t="s">
        <v>122</v>
      </c>
      <c r="C52" s="5" t="s">
        <v>163</v>
      </c>
      <c r="D52" s="5" t="s">
        <v>295</v>
      </c>
      <c r="E52" s="5" t="s">
        <v>392</v>
      </c>
      <c r="F52" s="5" t="s">
        <v>461</v>
      </c>
      <c r="G52" s="15">
        <v>0.43</v>
      </c>
      <c r="H52" s="27" t="s">
        <v>418</v>
      </c>
    </row>
    <row r="53" spans="1:8" ht="12.75">
      <c r="A53" s="5" t="s">
        <v>45</v>
      </c>
      <c r="B53" s="5" t="s">
        <v>122</v>
      </c>
      <c r="C53" s="5" t="s">
        <v>164</v>
      </c>
      <c r="D53" s="5" t="s">
        <v>296</v>
      </c>
      <c r="E53" s="5" t="s">
        <v>390</v>
      </c>
      <c r="F53" s="5" t="s">
        <v>462</v>
      </c>
      <c r="G53" s="15">
        <v>5.33</v>
      </c>
      <c r="H53" s="27" t="s">
        <v>418</v>
      </c>
    </row>
    <row r="54" spans="1:8" ht="12.75">
      <c r="A54" s="5" t="s">
        <v>46</v>
      </c>
      <c r="B54" s="5" t="s">
        <v>122</v>
      </c>
      <c r="C54" s="5" t="s">
        <v>165</v>
      </c>
      <c r="D54" s="5" t="s">
        <v>297</v>
      </c>
      <c r="E54" s="5" t="s">
        <v>390</v>
      </c>
      <c r="F54" s="5" t="s">
        <v>462</v>
      </c>
      <c r="G54" s="15">
        <v>5.33</v>
      </c>
      <c r="H54" s="27" t="s">
        <v>418</v>
      </c>
    </row>
    <row r="55" spans="1:8" ht="12.75">
      <c r="A55" s="5" t="s">
        <v>47</v>
      </c>
      <c r="B55" s="5" t="s">
        <v>122</v>
      </c>
      <c r="C55" s="5" t="s">
        <v>166</v>
      </c>
      <c r="D55" s="5" t="s">
        <v>299</v>
      </c>
      <c r="E55" s="5" t="s">
        <v>390</v>
      </c>
      <c r="F55" s="5" t="s">
        <v>435</v>
      </c>
      <c r="G55" s="15">
        <v>24.2</v>
      </c>
      <c r="H55" s="27" t="s">
        <v>418</v>
      </c>
    </row>
    <row r="56" spans="1:8" ht="12.75">
      <c r="A56" s="5" t="s">
        <v>48</v>
      </c>
      <c r="B56" s="5" t="s">
        <v>122</v>
      </c>
      <c r="C56" s="5" t="s">
        <v>167</v>
      </c>
      <c r="D56" s="5" t="s">
        <v>300</v>
      </c>
      <c r="E56" s="5" t="s">
        <v>390</v>
      </c>
      <c r="F56" s="5" t="s">
        <v>437</v>
      </c>
      <c r="G56" s="15">
        <v>30.97</v>
      </c>
      <c r="H56" s="27" t="s">
        <v>418</v>
      </c>
    </row>
    <row r="57" spans="1:8" ht="12.75">
      <c r="A57" s="5" t="s">
        <v>49</v>
      </c>
      <c r="B57" s="5" t="s">
        <v>122</v>
      </c>
      <c r="C57" s="5" t="s">
        <v>168</v>
      </c>
      <c r="D57" s="5" t="s">
        <v>302</v>
      </c>
      <c r="E57" s="5" t="s">
        <v>390</v>
      </c>
      <c r="F57" s="5" t="s">
        <v>435</v>
      </c>
      <c r="G57" s="15">
        <v>24.2</v>
      </c>
      <c r="H57" s="27" t="s">
        <v>418</v>
      </c>
    </row>
    <row r="58" spans="1:8" ht="12.75">
      <c r="A58" s="5" t="s">
        <v>50</v>
      </c>
      <c r="B58" s="5" t="s">
        <v>122</v>
      </c>
      <c r="C58" s="5" t="s">
        <v>169</v>
      </c>
      <c r="D58" s="5" t="s">
        <v>303</v>
      </c>
      <c r="E58" s="5" t="s">
        <v>390</v>
      </c>
      <c r="F58" s="5" t="s">
        <v>436</v>
      </c>
      <c r="G58" s="15">
        <v>55.17</v>
      </c>
      <c r="H58" s="27" t="s">
        <v>418</v>
      </c>
    </row>
    <row r="59" spans="1:8" ht="12.75">
      <c r="A59" s="5" t="s">
        <v>51</v>
      </c>
      <c r="B59" s="5" t="s">
        <v>122</v>
      </c>
      <c r="C59" s="5" t="s">
        <v>169</v>
      </c>
      <c r="D59" s="5" t="s">
        <v>303</v>
      </c>
      <c r="E59" s="5" t="s">
        <v>390</v>
      </c>
      <c r="F59" s="5" t="s">
        <v>435</v>
      </c>
      <c r="G59" s="15">
        <v>24.2</v>
      </c>
      <c r="H59" s="27" t="s">
        <v>418</v>
      </c>
    </row>
    <row r="60" spans="1:8" ht="12.75">
      <c r="A60" s="5" t="s">
        <v>52</v>
      </c>
      <c r="B60" s="5" t="s">
        <v>122</v>
      </c>
      <c r="C60" s="5" t="s">
        <v>170</v>
      </c>
      <c r="D60" s="5" t="s">
        <v>305</v>
      </c>
      <c r="E60" s="5" t="s">
        <v>387</v>
      </c>
      <c r="F60" s="5" t="s">
        <v>463</v>
      </c>
      <c r="G60" s="15">
        <v>44</v>
      </c>
      <c r="H60" s="27" t="s">
        <v>418</v>
      </c>
    </row>
    <row r="61" spans="1:8" ht="12.75">
      <c r="A61" s="5" t="s">
        <v>53</v>
      </c>
      <c r="B61" s="5" t="s">
        <v>122</v>
      </c>
      <c r="C61" s="5" t="s">
        <v>171</v>
      </c>
      <c r="D61" s="5" t="s">
        <v>306</v>
      </c>
      <c r="E61" s="5" t="s">
        <v>390</v>
      </c>
      <c r="F61" s="5" t="s">
        <v>438</v>
      </c>
      <c r="G61" s="15">
        <v>0.95</v>
      </c>
      <c r="H61" s="27" t="s">
        <v>418</v>
      </c>
    </row>
    <row r="62" spans="1:8" ht="12.75">
      <c r="A62" s="5" t="s">
        <v>54</v>
      </c>
      <c r="B62" s="5" t="s">
        <v>122</v>
      </c>
      <c r="C62" s="5" t="s">
        <v>173</v>
      </c>
      <c r="D62" s="5" t="s">
        <v>308</v>
      </c>
      <c r="E62" s="5" t="s">
        <v>391</v>
      </c>
      <c r="F62" s="5" t="s">
        <v>12</v>
      </c>
      <c r="G62" s="15">
        <v>6</v>
      </c>
      <c r="H62" s="27" t="s">
        <v>418</v>
      </c>
    </row>
    <row r="63" spans="1:8" ht="12.75">
      <c r="A63" s="5" t="s">
        <v>55</v>
      </c>
      <c r="B63" s="5" t="s">
        <v>122</v>
      </c>
      <c r="C63" s="5" t="s">
        <v>174</v>
      </c>
      <c r="D63" s="5" t="s">
        <v>310</v>
      </c>
      <c r="E63" s="5" t="s">
        <v>387</v>
      </c>
      <c r="F63" s="5" t="s">
        <v>34</v>
      </c>
      <c r="G63" s="15">
        <v>28</v>
      </c>
      <c r="H63" s="27" t="s">
        <v>418</v>
      </c>
    </row>
    <row r="64" spans="1:8" ht="12.75">
      <c r="A64" s="5" t="s">
        <v>56</v>
      </c>
      <c r="B64" s="5" t="s">
        <v>122</v>
      </c>
      <c r="C64" s="5" t="s">
        <v>175</v>
      </c>
      <c r="D64" s="5" t="s">
        <v>311</v>
      </c>
      <c r="E64" s="5" t="s">
        <v>387</v>
      </c>
      <c r="F64" s="5" t="s">
        <v>464</v>
      </c>
      <c r="G64" s="15">
        <v>26.6</v>
      </c>
      <c r="H64" s="27" t="s">
        <v>418</v>
      </c>
    </row>
    <row r="65" spans="1:8" ht="12.75">
      <c r="A65" s="5" t="s">
        <v>57</v>
      </c>
      <c r="B65" s="5" t="s">
        <v>122</v>
      </c>
      <c r="C65" s="5" t="s">
        <v>176</v>
      </c>
      <c r="D65" s="5" t="s">
        <v>312</v>
      </c>
      <c r="E65" s="5" t="s">
        <v>387</v>
      </c>
      <c r="F65" s="5" t="s">
        <v>465</v>
      </c>
      <c r="G65" s="15">
        <v>33.4</v>
      </c>
      <c r="H65" s="27" t="s">
        <v>418</v>
      </c>
    </row>
    <row r="66" spans="1:8" ht="12.75">
      <c r="A66" s="5" t="s">
        <v>58</v>
      </c>
      <c r="B66" s="5" t="s">
        <v>122</v>
      </c>
      <c r="C66" s="5" t="s">
        <v>177</v>
      </c>
      <c r="D66" s="5" t="s">
        <v>313</v>
      </c>
      <c r="E66" s="5" t="s">
        <v>387</v>
      </c>
      <c r="F66" s="5" t="s">
        <v>466</v>
      </c>
      <c r="G66" s="15">
        <v>35.3</v>
      </c>
      <c r="H66" s="27" t="s">
        <v>418</v>
      </c>
    </row>
    <row r="67" spans="1:8" ht="12.75">
      <c r="A67" s="5" t="s">
        <v>59</v>
      </c>
      <c r="B67" s="5" t="s">
        <v>122</v>
      </c>
      <c r="C67" s="5" t="s">
        <v>178</v>
      </c>
      <c r="D67" s="5" t="s">
        <v>314</v>
      </c>
      <c r="E67" s="5" t="s">
        <v>391</v>
      </c>
      <c r="F67" s="5" t="s">
        <v>7</v>
      </c>
      <c r="G67" s="15">
        <v>1</v>
      </c>
      <c r="H67" s="27" t="s">
        <v>418</v>
      </c>
    </row>
    <row r="68" spans="1:8" ht="12.75">
      <c r="A68" s="5" t="s">
        <v>60</v>
      </c>
      <c r="B68" s="5" t="s">
        <v>122</v>
      </c>
      <c r="C68" s="5" t="s">
        <v>179</v>
      </c>
      <c r="D68" s="5" t="s">
        <v>315</v>
      </c>
      <c r="E68" s="5" t="s">
        <v>391</v>
      </c>
      <c r="F68" s="5" t="s">
        <v>9</v>
      </c>
      <c r="G68" s="15">
        <v>3</v>
      </c>
      <c r="H68" s="27" t="s">
        <v>418</v>
      </c>
    </row>
    <row r="69" spans="1:8" ht="12.75">
      <c r="A69" s="5" t="s">
        <v>61</v>
      </c>
      <c r="B69" s="5" t="s">
        <v>122</v>
      </c>
      <c r="C69" s="5" t="s">
        <v>180</v>
      </c>
      <c r="D69" s="5" t="s">
        <v>316</v>
      </c>
      <c r="E69" s="5" t="s">
        <v>391</v>
      </c>
      <c r="F69" s="5" t="s">
        <v>10</v>
      </c>
      <c r="G69" s="15">
        <v>4</v>
      </c>
      <c r="H69" s="27" t="s">
        <v>418</v>
      </c>
    </row>
    <row r="70" spans="1:8" ht="12.75">
      <c r="A70" s="5" t="s">
        <v>62</v>
      </c>
      <c r="B70" s="5" t="s">
        <v>122</v>
      </c>
      <c r="C70" s="5" t="s">
        <v>181</v>
      </c>
      <c r="D70" s="5" t="s">
        <v>317</v>
      </c>
      <c r="E70" s="5" t="s">
        <v>387</v>
      </c>
      <c r="F70" s="5" t="s">
        <v>38</v>
      </c>
      <c r="G70" s="15">
        <v>32</v>
      </c>
      <c r="H70" s="27" t="s">
        <v>418</v>
      </c>
    </row>
    <row r="71" spans="1:8" ht="12.75">
      <c r="A71" s="5" t="s">
        <v>63</v>
      </c>
      <c r="B71" s="5" t="s">
        <v>122</v>
      </c>
      <c r="C71" s="5" t="s">
        <v>182</v>
      </c>
      <c r="D71" s="5" t="s">
        <v>318</v>
      </c>
      <c r="E71" s="5" t="s">
        <v>387</v>
      </c>
      <c r="F71" s="5" t="s">
        <v>96</v>
      </c>
      <c r="G71" s="15">
        <v>90</v>
      </c>
      <c r="H71" s="27" t="s">
        <v>418</v>
      </c>
    </row>
    <row r="72" spans="1:8" ht="12.75">
      <c r="A72" s="5" t="s">
        <v>64</v>
      </c>
      <c r="B72" s="5" t="s">
        <v>122</v>
      </c>
      <c r="C72" s="5" t="s">
        <v>183</v>
      </c>
      <c r="D72" s="5" t="s">
        <v>320</v>
      </c>
      <c r="E72" s="5" t="s">
        <v>393</v>
      </c>
      <c r="F72" s="5" t="s">
        <v>12</v>
      </c>
      <c r="G72" s="15">
        <v>6</v>
      </c>
      <c r="H72" s="27" t="s">
        <v>418</v>
      </c>
    </row>
    <row r="73" spans="1:8" ht="12.75">
      <c r="A73" s="5" t="s">
        <v>65</v>
      </c>
      <c r="B73" s="5" t="s">
        <v>122</v>
      </c>
      <c r="C73" s="5" t="s">
        <v>184</v>
      </c>
      <c r="D73" s="5" t="s">
        <v>321</v>
      </c>
      <c r="E73" s="5" t="s">
        <v>391</v>
      </c>
      <c r="F73" s="5" t="s">
        <v>10</v>
      </c>
      <c r="G73" s="15">
        <v>4</v>
      </c>
      <c r="H73" s="27" t="s">
        <v>418</v>
      </c>
    </row>
    <row r="74" spans="1:8" ht="12.75">
      <c r="A74" s="5" t="s">
        <v>66</v>
      </c>
      <c r="B74" s="5" t="s">
        <v>122</v>
      </c>
      <c r="C74" s="5" t="s">
        <v>185</v>
      </c>
      <c r="D74" s="5" t="s">
        <v>322</v>
      </c>
      <c r="E74" s="5" t="s">
        <v>391</v>
      </c>
      <c r="F74" s="5" t="s">
        <v>9</v>
      </c>
      <c r="G74" s="15">
        <v>3</v>
      </c>
      <c r="H74" s="27" t="s">
        <v>418</v>
      </c>
    </row>
    <row r="75" spans="1:8" ht="12.75">
      <c r="A75" s="5" t="s">
        <v>67</v>
      </c>
      <c r="B75" s="5" t="s">
        <v>122</v>
      </c>
      <c r="C75" s="5" t="s">
        <v>186</v>
      </c>
      <c r="D75" s="5" t="s">
        <v>323</v>
      </c>
      <c r="E75" s="5" t="s">
        <v>391</v>
      </c>
      <c r="F75" s="5" t="s">
        <v>15</v>
      </c>
      <c r="G75" s="15">
        <v>9</v>
      </c>
      <c r="H75" s="27" t="s">
        <v>418</v>
      </c>
    </row>
    <row r="76" spans="1:8" ht="12.75">
      <c r="A76" s="5" t="s">
        <v>68</v>
      </c>
      <c r="B76" s="5" t="s">
        <v>122</v>
      </c>
      <c r="C76" s="5" t="s">
        <v>187</v>
      </c>
      <c r="D76" s="5" t="s">
        <v>324</v>
      </c>
      <c r="E76" s="5" t="s">
        <v>391</v>
      </c>
      <c r="F76" s="5" t="s">
        <v>14</v>
      </c>
      <c r="G76" s="15">
        <v>8</v>
      </c>
      <c r="H76" s="27" t="s">
        <v>418</v>
      </c>
    </row>
    <row r="77" spans="1:8" ht="12.75">
      <c r="A77" s="5" t="s">
        <v>69</v>
      </c>
      <c r="B77" s="5" t="s">
        <v>122</v>
      </c>
      <c r="C77" s="5" t="s">
        <v>188</v>
      </c>
      <c r="D77" s="5" t="s">
        <v>325</v>
      </c>
      <c r="E77" s="5" t="s">
        <v>387</v>
      </c>
      <c r="F77" s="5" t="s">
        <v>101</v>
      </c>
      <c r="G77" s="15">
        <v>95</v>
      </c>
      <c r="H77" s="27" t="s">
        <v>418</v>
      </c>
    </row>
    <row r="78" spans="1:8" ht="12.75">
      <c r="A78" s="5" t="s">
        <v>70</v>
      </c>
      <c r="B78" s="5" t="s">
        <v>122</v>
      </c>
      <c r="C78" s="5" t="s">
        <v>189</v>
      </c>
      <c r="D78" s="5" t="s">
        <v>326</v>
      </c>
      <c r="E78" s="5" t="s">
        <v>394</v>
      </c>
      <c r="F78" s="5" t="s">
        <v>7</v>
      </c>
      <c r="G78" s="15">
        <v>1</v>
      </c>
      <c r="H78" s="27"/>
    </row>
    <row r="79" spans="1:8" ht="12.75">
      <c r="A79" s="5" t="s">
        <v>71</v>
      </c>
      <c r="B79" s="5" t="s">
        <v>122</v>
      </c>
      <c r="C79" s="5" t="s">
        <v>190</v>
      </c>
      <c r="D79" s="5" t="s">
        <v>327</v>
      </c>
      <c r="E79" s="5" t="s">
        <v>394</v>
      </c>
      <c r="F79" s="5" t="s">
        <v>7</v>
      </c>
      <c r="G79" s="15">
        <v>1</v>
      </c>
      <c r="H79" s="27"/>
    </row>
    <row r="80" spans="1:8" ht="12.75">
      <c r="A80" s="5" t="s">
        <v>72</v>
      </c>
      <c r="B80" s="5" t="s">
        <v>122</v>
      </c>
      <c r="C80" s="5" t="s">
        <v>191</v>
      </c>
      <c r="D80" s="5" t="s">
        <v>328</v>
      </c>
      <c r="E80" s="5" t="s">
        <v>391</v>
      </c>
      <c r="F80" s="5" t="s">
        <v>7</v>
      </c>
      <c r="G80" s="15">
        <v>1</v>
      </c>
      <c r="H80" s="27" t="s">
        <v>418</v>
      </c>
    </row>
    <row r="81" spans="1:8" ht="12.75">
      <c r="A81" s="5" t="s">
        <v>73</v>
      </c>
      <c r="B81" s="5" t="s">
        <v>122</v>
      </c>
      <c r="C81" s="5" t="s">
        <v>192</v>
      </c>
      <c r="D81" s="5" t="s">
        <v>329</v>
      </c>
      <c r="E81" s="5" t="s">
        <v>395</v>
      </c>
      <c r="F81" s="5" t="s">
        <v>467</v>
      </c>
      <c r="G81" s="15">
        <v>0.38</v>
      </c>
      <c r="H81" s="27" t="s">
        <v>418</v>
      </c>
    </row>
    <row r="82" spans="1:8" ht="12.75">
      <c r="A82" s="5" t="s">
        <v>74</v>
      </c>
      <c r="B82" s="5" t="s">
        <v>122</v>
      </c>
      <c r="C82" s="5" t="s">
        <v>193</v>
      </c>
      <c r="D82" s="5" t="s">
        <v>330</v>
      </c>
      <c r="E82" s="5" t="s">
        <v>392</v>
      </c>
      <c r="F82" s="5" t="s">
        <v>468</v>
      </c>
      <c r="G82" s="15">
        <v>5.33</v>
      </c>
      <c r="H82" s="27" t="s">
        <v>418</v>
      </c>
    </row>
    <row r="83" spans="1:8" ht="12.75">
      <c r="A83" s="5" t="s">
        <v>75</v>
      </c>
      <c r="B83" s="5" t="s">
        <v>122</v>
      </c>
      <c r="C83" s="5" t="s">
        <v>194</v>
      </c>
      <c r="D83" s="5" t="s">
        <v>331</v>
      </c>
      <c r="E83" s="5" t="s">
        <v>392</v>
      </c>
      <c r="F83" s="5" t="s">
        <v>469</v>
      </c>
      <c r="G83" s="15">
        <v>1.18</v>
      </c>
      <c r="H83" s="27" t="s">
        <v>418</v>
      </c>
    </row>
    <row r="84" spans="1:8" ht="12.75">
      <c r="A84" s="5" t="s">
        <v>76</v>
      </c>
      <c r="B84" s="5" t="s">
        <v>122</v>
      </c>
      <c r="C84" s="5" t="s">
        <v>195</v>
      </c>
      <c r="D84" s="5" t="s">
        <v>332</v>
      </c>
      <c r="E84" s="5" t="s">
        <v>392</v>
      </c>
      <c r="F84" s="5" t="s">
        <v>469</v>
      </c>
      <c r="G84" s="15">
        <v>1.18</v>
      </c>
      <c r="H84" s="27" t="s">
        <v>418</v>
      </c>
    </row>
    <row r="85" spans="1:8" ht="12.75">
      <c r="A85" s="5" t="s">
        <v>77</v>
      </c>
      <c r="B85" s="5" t="s">
        <v>122</v>
      </c>
      <c r="C85" s="5" t="s">
        <v>196</v>
      </c>
      <c r="D85" s="5" t="s">
        <v>333</v>
      </c>
      <c r="E85" s="5" t="s">
        <v>390</v>
      </c>
      <c r="F85" s="5" t="s">
        <v>470</v>
      </c>
      <c r="G85" s="15">
        <v>17.78</v>
      </c>
      <c r="H85" s="27" t="s">
        <v>418</v>
      </c>
    </row>
    <row r="86" spans="1:8" ht="12.75">
      <c r="A86" s="5" t="s">
        <v>78</v>
      </c>
      <c r="B86" s="5" t="s">
        <v>122</v>
      </c>
      <c r="C86" s="5" t="s">
        <v>197</v>
      </c>
      <c r="D86" s="5" t="s">
        <v>334</v>
      </c>
      <c r="E86" s="5" t="s">
        <v>391</v>
      </c>
      <c r="F86" s="5" t="s">
        <v>7</v>
      </c>
      <c r="G86" s="15">
        <v>1</v>
      </c>
      <c r="H86" s="27" t="s">
        <v>418</v>
      </c>
    </row>
    <row r="87" spans="1:8" ht="38.25">
      <c r="A87" s="5" t="s">
        <v>79</v>
      </c>
      <c r="B87" s="5" t="s">
        <v>122</v>
      </c>
      <c r="C87" s="5" t="s">
        <v>198</v>
      </c>
      <c r="D87" s="5" t="s">
        <v>335</v>
      </c>
      <c r="E87" s="5" t="s">
        <v>391</v>
      </c>
      <c r="F87" s="5" t="s">
        <v>7</v>
      </c>
      <c r="G87" s="15">
        <v>1</v>
      </c>
      <c r="H87" s="45" t="s">
        <v>482</v>
      </c>
    </row>
    <row r="88" spans="1:8" ht="12.75">
      <c r="A88" s="5" t="s">
        <v>80</v>
      </c>
      <c r="B88" s="5" t="s">
        <v>122</v>
      </c>
      <c r="C88" s="5" t="s">
        <v>199</v>
      </c>
      <c r="D88" s="5" t="s">
        <v>336</v>
      </c>
      <c r="E88" s="5" t="s">
        <v>395</v>
      </c>
      <c r="F88" s="5" t="s">
        <v>471</v>
      </c>
      <c r="G88" s="15">
        <v>0.08</v>
      </c>
      <c r="H88" s="27" t="s">
        <v>418</v>
      </c>
    </row>
    <row r="89" spans="1:8" ht="12.75">
      <c r="A89" s="5" t="s">
        <v>81</v>
      </c>
      <c r="B89" s="5" t="s">
        <v>122</v>
      </c>
      <c r="C89" s="5" t="s">
        <v>200</v>
      </c>
      <c r="D89" s="5" t="s">
        <v>337</v>
      </c>
      <c r="E89" s="5" t="s">
        <v>392</v>
      </c>
      <c r="F89" s="5" t="s">
        <v>472</v>
      </c>
      <c r="G89" s="15">
        <v>0.5</v>
      </c>
      <c r="H89" s="27" t="s">
        <v>418</v>
      </c>
    </row>
    <row r="90" spans="1:8" ht="12.75">
      <c r="A90" s="5" t="s">
        <v>82</v>
      </c>
      <c r="B90" s="5" t="s">
        <v>122</v>
      </c>
      <c r="C90" s="5" t="s">
        <v>201</v>
      </c>
      <c r="D90" s="5" t="s">
        <v>339</v>
      </c>
      <c r="E90" s="5" t="s">
        <v>387</v>
      </c>
      <c r="F90" s="5" t="s">
        <v>463</v>
      </c>
      <c r="G90" s="15">
        <v>44</v>
      </c>
      <c r="H90" s="27" t="s">
        <v>418</v>
      </c>
    </row>
    <row r="91" spans="1:8" ht="12.75">
      <c r="A91" s="5" t="s">
        <v>83</v>
      </c>
      <c r="B91" s="5" t="s">
        <v>122</v>
      </c>
      <c r="C91" s="5" t="s">
        <v>202</v>
      </c>
      <c r="D91" s="5" t="s">
        <v>340</v>
      </c>
      <c r="E91" s="5" t="s">
        <v>396</v>
      </c>
      <c r="F91" s="5" t="s">
        <v>7</v>
      </c>
      <c r="G91" s="15">
        <v>1</v>
      </c>
      <c r="H91" s="27" t="s">
        <v>418</v>
      </c>
    </row>
    <row r="92" spans="1:8" ht="12.75">
      <c r="A92" s="5" t="s">
        <v>84</v>
      </c>
      <c r="B92" s="5" t="s">
        <v>122</v>
      </c>
      <c r="C92" s="5" t="s">
        <v>203</v>
      </c>
      <c r="D92" s="5" t="s">
        <v>342</v>
      </c>
      <c r="E92" s="5" t="s">
        <v>387</v>
      </c>
      <c r="F92" s="5" t="s">
        <v>101</v>
      </c>
      <c r="G92" s="15">
        <v>95</v>
      </c>
      <c r="H92" s="27" t="s">
        <v>418</v>
      </c>
    </row>
    <row r="93" spans="1:8" ht="12.75">
      <c r="A93" s="5" t="s">
        <v>85</v>
      </c>
      <c r="B93" s="5" t="s">
        <v>122</v>
      </c>
      <c r="C93" s="5" t="s">
        <v>205</v>
      </c>
      <c r="D93" s="5" t="s">
        <v>344</v>
      </c>
      <c r="E93" s="5" t="s">
        <v>395</v>
      </c>
      <c r="F93" s="5" t="s">
        <v>473</v>
      </c>
      <c r="G93" s="15">
        <v>28.02</v>
      </c>
      <c r="H93" s="27" t="s">
        <v>418</v>
      </c>
    </row>
    <row r="94" spans="1:8" ht="12.75">
      <c r="A94" s="5" t="s">
        <v>86</v>
      </c>
      <c r="B94" s="5" t="s">
        <v>122</v>
      </c>
      <c r="C94" s="5" t="s">
        <v>206</v>
      </c>
      <c r="D94" s="5" t="s">
        <v>345</v>
      </c>
      <c r="E94" s="5" t="s">
        <v>395</v>
      </c>
      <c r="F94" s="5" t="s">
        <v>474</v>
      </c>
      <c r="G94" s="15">
        <v>37.32</v>
      </c>
      <c r="H94" s="27" t="s">
        <v>418</v>
      </c>
    </row>
    <row r="95" spans="1:8" ht="12.75">
      <c r="A95" s="5" t="s">
        <v>87</v>
      </c>
      <c r="B95" s="5" t="s">
        <v>122</v>
      </c>
      <c r="C95" s="5" t="s">
        <v>208</v>
      </c>
      <c r="D95" s="5" t="s">
        <v>347</v>
      </c>
      <c r="E95" s="5" t="s">
        <v>395</v>
      </c>
      <c r="F95" s="5" t="s">
        <v>475</v>
      </c>
      <c r="G95" s="15">
        <v>221.03</v>
      </c>
      <c r="H95" s="27" t="s">
        <v>418</v>
      </c>
    </row>
    <row r="96" spans="1:8" ht="12.75">
      <c r="A96" s="5" t="s">
        <v>88</v>
      </c>
      <c r="B96" s="5" t="s">
        <v>122</v>
      </c>
      <c r="C96" s="5" t="s">
        <v>210</v>
      </c>
      <c r="D96" s="5" t="s">
        <v>349</v>
      </c>
      <c r="E96" s="5" t="s">
        <v>395</v>
      </c>
      <c r="F96" s="5" t="s">
        <v>473</v>
      </c>
      <c r="G96" s="15">
        <v>28.02</v>
      </c>
      <c r="H96" s="27" t="s">
        <v>418</v>
      </c>
    </row>
    <row r="97" spans="1:8" ht="12.75">
      <c r="A97" s="6" t="s">
        <v>89</v>
      </c>
      <c r="B97" s="6" t="s">
        <v>122</v>
      </c>
      <c r="C97" s="6" t="s">
        <v>211</v>
      </c>
      <c r="D97" s="6" t="s">
        <v>351</v>
      </c>
      <c r="E97" s="6" t="s">
        <v>397</v>
      </c>
      <c r="F97" s="6" t="s">
        <v>476</v>
      </c>
      <c r="G97" s="16">
        <v>6</v>
      </c>
      <c r="H97" s="28"/>
    </row>
    <row r="98" spans="1:8" ht="12.75">
      <c r="A98" s="6" t="s">
        <v>90</v>
      </c>
      <c r="B98" s="6" t="s">
        <v>122</v>
      </c>
      <c r="C98" s="6" t="s">
        <v>212</v>
      </c>
      <c r="D98" s="6" t="s">
        <v>352</v>
      </c>
      <c r="E98" s="6" t="s">
        <v>397</v>
      </c>
      <c r="F98" s="6" t="s">
        <v>477</v>
      </c>
      <c r="G98" s="16">
        <v>7</v>
      </c>
      <c r="H98" s="28"/>
    </row>
    <row r="99" spans="1:8" ht="12.75">
      <c r="A99" s="6" t="s">
        <v>91</v>
      </c>
      <c r="B99" s="6" t="s">
        <v>122</v>
      </c>
      <c r="C99" s="6" t="s">
        <v>213</v>
      </c>
      <c r="D99" s="6" t="s">
        <v>353</v>
      </c>
      <c r="E99" s="6" t="s">
        <v>397</v>
      </c>
      <c r="F99" s="6" t="s">
        <v>478</v>
      </c>
      <c r="G99" s="16">
        <v>7</v>
      </c>
      <c r="H99" s="28"/>
    </row>
    <row r="100" spans="1:8" ht="12.75">
      <c r="A100" s="6" t="s">
        <v>92</v>
      </c>
      <c r="B100" s="6" t="s">
        <v>122</v>
      </c>
      <c r="C100" s="6" t="s">
        <v>214</v>
      </c>
      <c r="D100" s="6" t="s">
        <v>354</v>
      </c>
      <c r="E100" s="6" t="s">
        <v>397</v>
      </c>
      <c r="F100" s="6" t="s">
        <v>477</v>
      </c>
      <c r="G100" s="16">
        <v>7</v>
      </c>
      <c r="H100" s="28"/>
    </row>
    <row r="101" spans="1:8" ht="12.75">
      <c r="A101" s="6" t="s">
        <v>93</v>
      </c>
      <c r="B101" s="6" t="s">
        <v>122</v>
      </c>
      <c r="C101" s="6" t="s">
        <v>215</v>
      </c>
      <c r="D101" s="6" t="s">
        <v>355</v>
      </c>
      <c r="E101" s="6" t="s">
        <v>397</v>
      </c>
      <c r="F101" s="6" t="s">
        <v>7</v>
      </c>
      <c r="G101" s="16">
        <v>1</v>
      </c>
      <c r="H101" s="28"/>
    </row>
    <row r="102" spans="1:8" ht="12.75">
      <c r="A102" s="6" t="s">
        <v>94</v>
      </c>
      <c r="B102" s="6" t="s">
        <v>122</v>
      </c>
      <c r="C102" s="6" t="s">
        <v>216</v>
      </c>
      <c r="D102" s="6" t="s">
        <v>356</v>
      </c>
      <c r="E102" s="6" t="s">
        <v>397</v>
      </c>
      <c r="F102" s="6" t="s">
        <v>9</v>
      </c>
      <c r="G102" s="16">
        <v>3</v>
      </c>
      <c r="H102" s="28"/>
    </row>
    <row r="103" spans="1:8" ht="12.75">
      <c r="A103" s="6" t="s">
        <v>95</v>
      </c>
      <c r="B103" s="6" t="s">
        <v>122</v>
      </c>
      <c r="C103" s="6" t="s">
        <v>217</v>
      </c>
      <c r="D103" s="6" t="s">
        <v>357</v>
      </c>
      <c r="E103" s="6" t="s">
        <v>398</v>
      </c>
      <c r="F103" s="6" t="s">
        <v>10</v>
      </c>
      <c r="G103" s="16">
        <v>4</v>
      </c>
      <c r="H103" s="28"/>
    </row>
    <row r="104" spans="1:8" ht="12.75">
      <c r="A104" s="6" t="s">
        <v>96</v>
      </c>
      <c r="B104" s="6" t="s">
        <v>122</v>
      </c>
      <c r="C104" s="6" t="s">
        <v>218</v>
      </c>
      <c r="D104" s="6" t="s">
        <v>358</v>
      </c>
      <c r="E104" s="6" t="s">
        <v>397</v>
      </c>
      <c r="F104" s="6" t="s">
        <v>7</v>
      </c>
      <c r="G104" s="16">
        <v>1</v>
      </c>
      <c r="H104" s="28"/>
    </row>
    <row r="105" spans="1:8" ht="12.75">
      <c r="A105" s="6" t="s">
        <v>97</v>
      </c>
      <c r="B105" s="6" t="s">
        <v>122</v>
      </c>
      <c r="C105" s="6" t="s">
        <v>219</v>
      </c>
      <c r="D105" s="6" t="s">
        <v>359</v>
      </c>
      <c r="E105" s="6" t="s">
        <v>395</v>
      </c>
      <c r="F105" s="6" t="s">
        <v>479</v>
      </c>
      <c r="G105" s="16">
        <v>116</v>
      </c>
      <c r="H105" s="28"/>
    </row>
    <row r="106" spans="1:8" ht="12.75">
      <c r="A106" s="6" t="s">
        <v>98</v>
      </c>
      <c r="B106" s="6" t="s">
        <v>122</v>
      </c>
      <c r="C106" s="6" t="s">
        <v>220</v>
      </c>
      <c r="D106" s="6" t="s">
        <v>360</v>
      </c>
      <c r="E106" s="6" t="s">
        <v>397</v>
      </c>
      <c r="F106" s="6" t="s">
        <v>9</v>
      </c>
      <c r="G106" s="16">
        <v>3</v>
      </c>
      <c r="H106" s="28"/>
    </row>
    <row r="107" spans="1:8" ht="12.75">
      <c r="A107" s="6" t="s">
        <v>99</v>
      </c>
      <c r="B107" s="6" t="s">
        <v>122</v>
      </c>
      <c r="C107" s="6" t="s">
        <v>221</v>
      </c>
      <c r="D107" s="6" t="s">
        <v>361</v>
      </c>
      <c r="E107" s="6" t="s">
        <v>397</v>
      </c>
      <c r="F107" s="6" t="s">
        <v>10</v>
      </c>
      <c r="G107" s="16">
        <v>4</v>
      </c>
      <c r="H107" s="28"/>
    </row>
    <row r="108" spans="1:8" ht="12.75">
      <c r="A108" s="6" t="s">
        <v>100</v>
      </c>
      <c r="B108" s="6" t="s">
        <v>122</v>
      </c>
      <c r="C108" s="6" t="s">
        <v>222</v>
      </c>
      <c r="D108" s="6" t="s">
        <v>362</v>
      </c>
      <c r="E108" s="6" t="s">
        <v>397</v>
      </c>
      <c r="F108" s="6" t="s">
        <v>20</v>
      </c>
      <c r="G108" s="16">
        <v>14</v>
      </c>
      <c r="H108" s="28"/>
    </row>
    <row r="109" spans="1:8" ht="12.75">
      <c r="A109" s="6" t="s">
        <v>101</v>
      </c>
      <c r="B109" s="6" t="s">
        <v>122</v>
      </c>
      <c r="C109" s="6" t="s">
        <v>223</v>
      </c>
      <c r="D109" s="6" t="s">
        <v>363</v>
      </c>
      <c r="E109" s="6" t="s">
        <v>397</v>
      </c>
      <c r="F109" s="6" t="s">
        <v>8</v>
      </c>
      <c r="G109" s="16">
        <v>2</v>
      </c>
      <c r="H109" s="28"/>
    </row>
    <row r="110" spans="1:8" ht="12.75">
      <c r="A110" s="6" t="s">
        <v>102</v>
      </c>
      <c r="B110" s="6" t="s">
        <v>122</v>
      </c>
      <c r="C110" s="6" t="s">
        <v>224</v>
      </c>
      <c r="D110" s="6" t="s">
        <v>364</v>
      </c>
      <c r="E110" s="6" t="s">
        <v>397</v>
      </c>
      <c r="F110" s="6" t="s">
        <v>11</v>
      </c>
      <c r="G110" s="16">
        <v>5</v>
      </c>
      <c r="H110" s="28"/>
    </row>
    <row r="111" spans="1:8" ht="12.75">
      <c r="A111" s="6" t="s">
        <v>103</v>
      </c>
      <c r="B111" s="6" t="s">
        <v>122</v>
      </c>
      <c r="C111" s="6" t="s">
        <v>225</v>
      </c>
      <c r="D111" s="6" t="s">
        <v>365</v>
      </c>
      <c r="E111" s="6" t="s">
        <v>397</v>
      </c>
      <c r="F111" s="6" t="s">
        <v>7</v>
      </c>
      <c r="G111" s="16">
        <v>1</v>
      </c>
      <c r="H111" s="28"/>
    </row>
    <row r="112" spans="1:8" ht="12.75">
      <c r="A112" s="6" t="s">
        <v>104</v>
      </c>
      <c r="B112" s="6" t="s">
        <v>122</v>
      </c>
      <c r="C112" s="6" t="s">
        <v>226</v>
      </c>
      <c r="D112" s="6" t="s">
        <v>366</v>
      </c>
      <c r="E112" s="6" t="s">
        <v>397</v>
      </c>
      <c r="F112" s="6" t="s">
        <v>13</v>
      </c>
      <c r="G112" s="16">
        <v>7</v>
      </c>
      <c r="H112" s="28"/>
    </row>
    <row r="113" spans="1:8" ht="12.75">
      <c r="A113" s="6" t="s">
        <v>105</v>
      </c>
      <c r="B113" s="6" t="s">
        <v>122</v>
      </c>
      <c r="C113" s="6" t="s">
        <v>227</v>
      </c>
      <c r="D113" s="6" t="s">
        <v>367</v>
      </c>
      <c r="E113" s="6" t="s">
        <v>397</v>
      </c>
      <c r="F113" s="6" t="s">
        <v>8</v>
      </c>
      <c r="G113" s="16">
        <v>2</v>
      </c>
      <c r="H113" s="28"/>
    </row>
    <row r="114" spans="1:8" ht="12.75">
      <c r="A114" s="6" t="s">
        <v>106</v>
      </c>
      <c r="B114" s="6" t="s">
        <v>122</v>
      </c>
      <c r="C114" s="6" t="s">
        <v>228</v>
      </c>
      <c r="D114" s="6" t="s">
        <v>368</v>
      </c>
      <c r="E114" s="6" t="s">
        <v>397</v>
      </c>
      <c r="F114" s="6" t="s">
        <v>9</v>
      </c>
      <c r="G114" s="16">
        <v>3</v>
      </c>
      <c r="H114" s="28"/>
    </row>
    <row r="115" spans="1:8" ht="12.75">
      <c r="A115" s="6" t="s">
        <v>107</v>
      </c>
      <c r="B115" s="6" t="s">
        <v>122</v>
      </c>
      <c r="C115" s="6" t="s">
        <v>229</v>
      </c>
      <c r="D115" s="6" t="s">
        <v>369</v>
      </c>
      <c r="E115" s="6" t="s">
        <v>397</v>
      </c>
      <c r="F115" s="6" t="s">
        <v>7</v>
      </c>
      <c r="G115" s="16">
        <v>1</v>
      </c>
      <c r="H115" s="28"/>
    </row>
    <row r="116" spans="1:8" ht="12.75">
      <c r="A116" s="6" t="s">
        <v>108</v>
      </c>
      <c r="B116" s="6" t="s">
        <v>122</v>
      </c>
      <c r="C116" s="6" t="s">
        <v>230</v>
      </c>
      <c r="D116" s="6" t="s">
        <v>370</v>
      </c>
      <c r="E116" s="6" t="s">
        <v>397</v>
      </c>
      <c r="F116" s="6" t="s">
        <v>9</v>
      </c>
      <c r="G116" s="16">
        <v>3</v>
      </c>
      <c r="H116" s="28"/>
    </row>
    <row r="117" spans="1:8" ht="12.75">
      <c r="A117" s="6" t="s">
        <v>109</v>
      </c>
      <c r="B117" s="6" t="s">
        <v>122</v>
      </c>
      <c r="C117" s="6" t="s">
        <v>231</v>
      </c>
      <c r="D117" s="6" t="s">
        <v>371</v>
      </c>
      <c r="E117" s="6" t="s">
        <v>397</v>
      </c>
      <c r="F117" s="6" t="s">
        <v>7</v>
      </c>
      <c r="G117" s="16">
        <v>1</v>
      </c>
      <c r="H117" s="28"/>
    </row>
    <row r="118" spans="1:8" ht="12.75">
      <c r="A118" s="6" t="s">
        <v>110</v>
      </c>
      <c r="B118" s="6" t="s">
        <v>122</v>
      </c>
      <c r="C118" s="6" t="s">
        <v>232</v>
      </c>
      <c r="D118" s="6" t="s">
        <v>372</v>
      </c>
      <c r="E118" s="6" t="s">
        <v>397</v>
      </c>
      <c r="F118" s="6" t="s">
        <v>12</v>
      </c>
      <c r="G118" s="16">
        <v>6</v>
      </c>
      <c r="H118" s="28"/>
    </row>
    <row r="119" spans="1:8" ht="12.75">
      <c r="A119" s="6" t="s">
        <v>111</v>
      </c>
      <c r="B119" s="6" t="s">
        <v>122</v>
      </c>
      <c r="C119" s="6" t="s">
        <v>233</v>
      </c>
      <c r="D119" s="6" t="s">
        <v>373</v>
      </c>
      <c r="E119" s="6" t="s">
        <v>397</v>
      </c>
      <c r="F119" s="6" t="s">
        <v>12</v>
      </c>
      <c r="G119" s="16">
        <v>6</v>
      </c>
      <c r="H119" s="28"/>
    </row>
    <row r="120" spans="1:8" ht="12.75">
      <c r="A120" s="6" t="s">
        <v>112</v>
      </c>
      <c r="B120" s="6" t="s">
        <v>122</v>
      </c>
      <c r="C120" s="6" t="s">
        <v>234</v>
      </c>
      <c r="D120" s="6" t="s">
        <v>374</v>
      </c>
      <c r="E120" s="6" t="s">
        <v>397</v>
      </c>
      <c r="F120" s="6" t="s">
        <v>12</v>
      </c>
      <c r="G120" s="16">
        <v>6</v>
      </c>
      <c r="H120" s="28"/>
    </row>
    <row r="121" spans="1:8" ht="12.75">
      <c r="A121" s="6" t="s">
        <v>113</v>
      </c>
      <c r="B121" s="6" t="s">
        <v>122</v>
      </c>
      <c r="C121" s="6" t="s">
        <v>235</v>
      </c>
      <c r="D121" s="6" t="s">
        <v>375</v>
      </c>
      <c r="E121" s="6" t="s">
        <v>397</v>
      </c>
      <c r="F121" s="6" t="s">
        <v>7</v>
      </c>
      <c r="G121" s="16">
        <v>1</v>
      </c>
      <c r="H121" s="28"/>
    </row>
    <row r="122" spans="1:8" ht="12.75">
      <c r="A122" s="6" t="s">
        <v>114</v>
      </c>
      <c r="B122" s="6" t="s">
        <v>122</v>
      </c>
      <c r="C122" s="6" t="s">
        <v>236</v>
      </c>
      <c r="D122" s="6" t="s">
        <v>376</v>
      </c>
      <c r="E122" s="6" t="s">
        <v>397</v>
      </c>
      <c r="F122" s="6" t="s">
        <v>10</v>
      </c>
      <c r="G122" s="16">
        <v>4</v>
      </c>
      <c r="H122" s="28"/>
    </row>
    <row r="123" spans="1:8" ht="12.75">
      <c r="A123" s="6" t="s">
        <v>115</v>
      </c>
      <c r="B123" s="6" t="s">
        <v>122</v>
      </c>
      <c r="C123" s="6" t="s">
        <v>237</v>
      </c>
      <c r="D123" s="6" t="s">
        <v>377</v>
      </c>
      <c r="E123" s="6" t="s">
        <v>397</v>
      </c>
      <c r="F123" s="6" t="s">
        <v>7</v>
      </c>
      <c r="G123" s="16">
        <v>1</v>
      </c>
      <c r="H123" s="28"/>
    </row>
    <row r="124" spans="1:8" ht="12.75">
      <c r="A124" s="6" t="s">
        <v>116</v>
      </c>
      <c r="B124" s="6" t="s">
        <v>122</v>
      </c>
      <c r="C124" s="6" t="s">
        <v>238</v>
      </c>
      <c r="D124" s="6" t="s">
        <v>378</v>
      </c>
      <c r="E124" s="6" t="s">
        <v>397</v>
      </c>
      <c r="F124" s="6" t="s">
        <v>7</v>
      </c>
      <c r="G124" s="16">
        <v>1</v>
      </c>
      <c r="H124" s="28"/>
    </row>
    <row r="125" spans="1:8" ht="12.75">
      <c r="A125" s="6" t="s">
        <v>117</v>
      </c>
      <c r="B125" s="6" t="s">
        <v>122</v>
      </c>
      <c r="C125" s="6" t="s">
        <v>239</v>
      </c>
      <c r="D125" s="6" t="s">
        <v>379</v>
      </c>
      <c r="E125" s="6" t="s">
        <v>399</v>
      </c>
      <c r="F125" s="6" t="s">
        <v>480</v>
      </c>
      <c r="G125" s="16">
        <v>38.45</v>
      </c>
      <c r="H125" s="28"/>
    </row>
    <row r="126" spans="1:8" ht="12.75">
      <c r="A126" s="6" t="s">
        <v>118</v>
      </c>
      <c r="B126" s="6" t="s">
        <v>122</v>
      </c>
      <c r="C126" s="6" t="s">
        <v>240</v>
      </c>
      <c r="D126" s="6" t="s">
        <v>380</v>
      </c>
      <c r="E126" s="6" t="s">
        <v>390</v>
      </c>
      <c r="F126" s="6" t="s">
        <v>462</v>
      </c>
      <c r="G126" s="16">
        <v>5.33</v>
      </c>
      <c r="H126" s="28" t="s">
        <v>418</v>
      </c>
    </row>
    <row r="127" spans="1:8" ht="12.75">
      <c r="A127" s="6" t="s">
        <v>119</v>
      </c>
      <c r="B127" s="6" t="s">
        <v>122</v>
      </c>
      <c r="C127" s="6" t="s">
        <v>241</v>
      </c>
      <c r="D127" s="6" t="s">
        <v>381</v>
      </c>
      <c r="E127" s="6" t="s">
        <v>391</v>
      </c>
      <c r="F127" s="6" t="s">
        <v>7</v>
      </c>
      <c r="G127" s="16">
        <v>1</v>
      </c>
      <c r="H127" s="28" t="s">
        <v>418</v>
      </c>
    </row>
  </sheetData>
  <sheetProtection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09" t="s">
        <v>483</v>
      </c>
      <c r="B1" s="110"/>
      <c r="C1" s="110"/>
      <c r="D1" s="110"/>
      <c r="E1" s="110"/>
      <c r="F1" s="110"/>
      <c r="G1" s="110"/>
      <c r="H1" s="110"/>
      <c r="I1" s="110"/>
    </row>
    <row r="2" spans="1:10" ht="12.75">
      <c r="A2" s="78" t="s">
        <v>1</v>
      </c>
      <c r="B2" s="79"/>
      <c r="C2" s="80" t="s">
        <v>242</v>
      </c>
      <c r="D2" s="60"/>
      <c r="E2" s="83" t="s">
        <v>406</v>
      </c>
      <c r="F2" s="83" t="s">
        <v>411</v>
      </c>
      <c r="G2" s="79"/>
      <c r="H2" s="83" t="s">
        <v>518</v>
      </c>
      <c r="I2" s="111"/>
      <c r="J2" s="30"/>
    </row>
    <row r="3" spans="1:10" ht="12.75">
      <c r="A3" s="75"/>
      <c r="B3" s="67"/>
      <c r="C3" s="81"/>
      <c r="D3" s="81"/>
      <c r="E3" s="67"/>
      <c r="F3" s="67"/>
      <c r="G3" s="67"/>
      <c r="H3" s="67"/>
      <c r="I3" s="73"/>
      <c r="J3" s="30"/>
    </row>
    <row r="4" spans="1:10" ht="12.75">
      <c r="A4" s="66" t="s">
        <v>2</v>
      </c>
      <c r="B4" s="67"/>
      <c r="C4" s="70" t="s">
        <v>243</v>
      </c>
      <c r="D4" s="67"/>
      <c r="E4" s="70" t="s">
        <v>407</v>
      </c>
      <c r="F4" s="70" t="s">
        <v>412</v>
      </c>
      <c r="G4" s="67"/>
      <c r="H4" s="70" t="s">
        <v>518</v>
      </c>
      <c r="I4" s="108"/>
      <c r="J4" s="30"/>
    </row>
    <row r="5" spans="1:10" ht="12.75">
      <c r="A5" s="75"/>
      <c r="B5" s="67"/>
      <c r="C5" s="67"/>
      <c r="D5" s="67"/>
      <c r="E5" s="67"/>
      <c r="F5" s="67"/>
      <c r="G5" s="67"/>
      <c r="H5" s="67"/>
      <c r="I5" s="73"/>
      <c r="J5" s="30"/>
    </row>
    <row r="6" spans="1:10" ht="12.75">
      <c r="A6" s="66" t="s">
        <v>3</v>
      </c>
      <c r="B6" s="67"/>
      <c r="C6" s="70" t="s">
        <v>244</v>
      </c>
      <c r="D6" s="67"/>
      <c r="E6" s="70" t="s">
        <v>408</v>
      </c>
      <c r="F6" s="70"/>
      <c r="G6" s="67"/>
      <c r="H6" s="70" t="s">
        <v>518</v>
      </c>
      <c r="I6" s="108"/>
      <c r="J6" s="30"/>
    </row>
    <row r="7" spans="1:10" ht="12.75">
      <c r="A7" s="75"/>
      <c r="B7" s="67"/>
      <c r="C7" s="67"/>
      <c r="D7" s="67"/>
      <c r="E7" s="67"/>
      <c r="F7" s="67"/>
      <c r="G7" s="67"/>
      <c r="H7" s="67"/>
      <c r="I7" s="73"/>
      <c r="J7" s="30"/>
    </row>
    <row r="8" spans="1:10" ht="12.75">
      <c r="A8" s="66" t="s">
        <v>383</v>
      </c>
      <c r="B8" s="67"/>
      <c r="C8" s="71" t="s">
        <v>6</v>
      </c>
      <c r="D8" s="67"/>
      <c r="E8" s="70" t="s">
        <v>384</v>
      </c>
      <c r="F8" s="67"/>
      <c r="G8" s="67"/>
      <c r="H8" s="71" t="s">
        <v>519</v>
      </c>
      <c r="I8" s="108" t="s">
        <v>120</v>
      </c>
      <c r="J8" s="30"/>
    </row>
    <row r="9" spans="1:10" ht="12.75">
      <c r="A9" s="75"/>
      <c r="B9" s="67"/>
      <c r="C9" s="67"/>
      <c r="D9" s="67"/>
      <c r="E9" s="67"/>
      <c r="F9" s="67"/>
      <c r="G9" s="67"/>
      <c r="H9" s="67"/>
      <c r="I9" s="73"/>
      <c r="J9" s="30"/>
    </row>
    <row r="10" spans="1:10" ht="12.75">
      <c r="A10" s="66" t="s">
        <v>4</v>
      </c>
      <c r="B10" s="67"/>
      <c r="C10" s="70"/>
      <c r="D10" s="67"/>
      <c r="E10" s="70" t="s">
        <v>409</v>
      </c>
      <c r="F10" s="70" t="s">
        <v>413</v>
      </c>
      <c r="G10" s="67"/>
      <c r="H10" s="71" t="s">
        <v>520</v>
      </c>
      <c r="I10" s="106">
        <v>41457</v>
      </c>
      <c r="J10" s="30"/>
    </row>
    <row r="11" spans="1:10" ht="12.75">
      <c r="A11" s="104"/>
      <c r="B11" s="105"/>
      <c r="C11" s="105"/>
      <c r="D11" s="105"/>
      <c r="E11" s="105"/>
      <c r="F11" s="105"/>
      <c r="G11" s="105"/>
      <c r="H11" s="105"/>
      <c r="I11" s="107"/>
      <c r="J11" s="30"/>
    </row>
    <row r="12" spans="1:9" ht="23.25" customHeight="1">
      <c r="A12" s="100" t="s">
        <v>484</v>
      </c>
      <c r="B12" s="101"/>
      <c r="C12" s="101"/>
      <c r="D12" s="101"/>
      <c r="E12" s="101"/>
      <c r="F12" s="101"/>
      <c r="G12" s="101"/>
      <c r="H12" s="101"/>
      <c r="I12" s="101"/>
    </row>
    <row r="13" spans="1:10" ht="26.25" customHeight="1">
      <c r="A13" s="46" t="s">
        <v>485</v>
      </c>
      <c r="B13" s="102" t="s">
        <v>496</v>
      </c>
      <c r="C13" s="103"/>
      <c r="D13" s="46" t="s">
        <v>498</v>
      </c>
      <c r="E13" s="102" t="s">
        <v>506</v>
      </c>
      <c r="F13" s="103"/>
      <c r="G13" s="46" t="s">
        <v>507</v>
      </c>
      <c r="H13" s="102" t="s">
        <v>521</v>
      </c>
      <c r="I13" s="103"/>
      <c r="J13" s="30"/>
    </row>
    <row r="14" spans="1:10" ht="15" customHeight="1">
      <c r="A14" s="47" t="s">
        <v>486</v>
      </c>
      <c r="B14" s="52" t="s">
        <v>497</v>
      </c>
      <c r="C14" s="54">
        <f>SUM('Stavební rozpočet'!R12:R148)</f>
        <v>0</v>
      </c>
      <c r="D14" s="98" t="s">
        <v>499</v>
      </c>
      <c r="E14" s="99"/>
      <c r="F14" s="54">
        <v>0</v>
      </c>
      <c r="G14" s="98" t="s">
        <v>508</v>
      </c>
      <c r="H14" s="99"/>
      <c r="I14" s="54">
        <f>ROUND(C22*(4/100),2)</f>
        <v>0</v>
      </c>
      <c r="J14" s="30"/>
    </row>
    <row r="15" spans="1:10" ht="15" customHeight="1">
      <c r="A15" s="48"/>
      <c r="B15" s="52" t="s">
        <v>410</v>
      </c>
      <c r="C15" s="54">
        <f>SUM('Stavební rozpočet'!S12:S148)</f>
        <v>0</v>
      </c>
      <c r="D15" s="98" t="s">
        <v>500</v>
      </c>
      <c r="E15" s="99"/>
      <c r="F15" s="54">
        <v>0</v>
      </c>
      <c r="G15" s="98" t="s">
        <v>509</v>
      </c>
      <c r="H15" s="99"/>
      <c r="I15" s="54">
        <v>0</v>
      </c>
      <c r="J15" s="30"/>
    </row>
    <row r="16" spans="1:10" ht="15" customHeight="1">
      <c r="A16" s="47" t="s">
        <v>487</v>
      </c>
      <c r="B16" s="52" t="s">
        <v>497</v>
      </c>
      <c r="C16" s="54">
        <f>SUM('Stavební rozpočet'!T12:T148)</f>
        <v>0</v>
      </c>
      <c r="D16" s="98" t="s">
        <v>501</v>
      </c>
      <c r="E16" s="99"/>
      <c r="F16" s="54">
        <v>0</v>
      </c>
      <c r="G16" s="98" t="s">
        <v>510</v>
      </c>
      <c r="H16" s="99"/>
      <c r="I16" s="54">
        <v>0</v>
      </c>
      <c r="J16" s="30"/>
    </row>
    <row r="17" spans="1:10" ht="15" customHeight="1">
      <c r="A17" s="48"/>
      <c r="B17" s="52" t="s">
        <v>410</v>
      </c>
      <c r="C17" s="54">
        <f>SUM('Stavební rozpočet'!U12:U148)</f>
        <v>0</v>
      </c>
      <c r="D17" s="98"/>
      <c r="E17" s="99"/>
      <c r="F17" s="55"/>
      <c r="G17" s="98" t="s">
        <v>511</v>
      </c>
      <c r="H17" s="99"/>
      <c r="I17" s="54">
        <v>0</v>
      </c>
      <c r="J17" s="30"/>
    </row>
    <row r="18" spans="1:10" ht="15" customHeight="1">
      <c r="A18" s="47" t="s">
        <v>488</v>
      </c>
      <c r="B18" s="52" t="s">
        <v>497</v>
      </c>
      <c r="C18" s="54">
        <f>SUM('Stavební rozpočet'!V12:V148)</f>
        <v>0</v>
      </c>
      <c r="D18" s="98"/>
      <c r="E18" s="99"/>
      <c r="F18" s="55"/>
      <c r="G18" s="98" t="s">
        <v>512</v>
      </c>
      <c r="H18" s="99"/>
      <c r="I18" s="54">
        <v>0</v>
      </c>
      <c r="J18" s="30"/>
    </row>
    <row r="19" spans="1:10" ht="15" customHeight="1">
      <c r="A19" s="48"/>
      <c r="B19" s="52" t="s">
        <v>410</v>
      </c>
      <c r="C19" s="54">
        <f>SUM('Stavební rozpočet'!W12:W148)</f>
        <v>0</v>
      </c>
      <c r="D19" s="98"/>
      <c r="E19" s="99"/>
      <c r="F19" s="55"/>
      <c r="G19" s="98" t="s">
        <v>513</v>
      </c>
      <c r="H19" s="99"/>
      <c r="I19" s="54">
        <v>0</v>
      </c>
      <c r="J19" s="30"/>
    </row>
    <row r="20" spans="1:10" ht="15" customHeight="1">
      <c r="A20" s="96" t="s">
        <v>350</v>
      </c>
      <c r="B20" s="97"/>
      <c r="C20" s="54">
        <f>SUM('Stavební rozpočet'!X12:X148)</f>
        <v>0</v>
      </c>
      <c r="D20" s="98"/>
      <c r="E20" s="99"/>
      <c r="F20" s="55"/>
      <c r="G20" s="98"/>
      <c r="H20" s="99"/>
      <c r="I20" s="55"/>
      <c r="J20" s="30"/>
    </row>
    <row r="21" spans="1:10" ht="15" customHeight="1">
      <c r="A21" s="96" t="s">
        <v>489</v>
      </c>
      <c r="B21" s="97"/>
      <c r="C21" s="54">
        <f>SUM('Stavební rozpočet'!P12:P148)</f>
        <v>0</v>
      </c>
      <c r="D21" s="98"/>
      <c r="E21" s="99"/>
      <c r="F21" s="55"/>
      <c r="G21" s="98"/>
      <c r="H21" s="99"/>
      <c r="I21" s="55"/>
      <c r="J21" s="30"/>
    </row>
    <row r="22" spans="1:10" ht="16.5" customHeight="1">
      <c r="A22" s="96" t="s">
        <v>490</v>
      </c>
      <c r="B22" s="97"/>
      <c r="C22" s="54">
        <f>SUM(C14:C21)</f>
        <v>0</v>
      </c>
      <c r="D22" s="96" t="s">
        <v>502</v>
      </c>
      <c r="E22" s="97"/>
      <c r="F22" s="54">
        <f>SUM(F14:F21)</f>
        <v>0</v>
      </c>
      <c r="G22" s="96" t="s">
        <v>514</v>
      </c>
      <c r="H22" s="97"/>
      <c r="I22" s="54">
        <f>SUM(I14:I21)</f>
        <v>0</v>
      </c>
      <c r="J22" s="30"/>
    </row>
    <row r="23" spans="1:9" ht="12.75">
      <c r="A23" s="49"/>
      <c r="B23" s="49"/>
      <c r="C23" s="49"/>
      <c r="D23" s="8"/>
      <c r="E23" s="8"/>
      <c r="F23" s="8"/>
      <c r="G23" s="8"/>
      <c r="H23" s="8"/>
      <c r="I23" s="8"/>
    </row>
    <row r="24" spans="1:9" ht="15" customHeight="1">
      <c r="A24" s="94" t="s">
        <v>491</v>
      </c>
      <c r="B24" s="95"/>
      <c r="C24" s="56">
        <f>SUM('Stavební rozpočet'!Z12:Z148)</f>
        <v>0</v>
      </c>
      <c r="D24" s="53"/>
      <c r="E24" s="40"/>
      <c r="F24" s="40"/>
      <c r="G24" s="40"/>
      <c r="H24" s="40"/>
      <c r="I24" s="40"/>
    </row>
    <row r="25" spans="1:10" ht="15" customHeight="1">
      <c r="A25" s="94" t="s">
        <v>492</v>
      </c>
      <c r="B25" s="95"/>
      <c r="C25" s="56">
        <f>SUM('Stavební rozpočet'!AA12:AA148)</f>
        <v>0</v>
      </c>
      <c r="D25" s="94" t="s">
        <v>503</v>
      </c>
      <c r="E25" s="95"/>
      <c r="F25" s="56">
        <f>ROUND(C25*(15/100),2)</f>
        <v>0</v>
      </c>
      <c r="G25" s="94" t="s">
        <v>515</v>
      </c>
      <c r="H25" s="95"/>
      <c r="I25" s="56">
        <f>SUM(C24:C26)</f>
        <v>0</v>
      </c>
      <c r="J25" s="30"/>
    </row>
    <row r="26" spans="1:10" ht="15" customHeight="1">
      <c r="A26" s="94" t="s">
        <v>493</v>
      </c>
      <c r="B26" s="95"/>
      <c r="C26" s="56">
        <f>SUM('Stavební rozpočet'!AB12:AB148)+(F22+I22)</f>
        <v>0</v>
      </c>
      <c r="D26" s="94" t="s">
        <v>504</v>
      </c>
      <c r="E26" s="95"/>
      <c r="F26" s="56">
        <f>ROUND(C26*(21/100),2)</f>
        <v>0</v>
      </c>
      <c r="G26" s="94" t="s">
        <v>516</v>
      </c>
      <c r="H26" s="95"/>
      <c r="I26" s="56">
        <f>SUM(F25:F26)+I25</f>
        <v>0</v>
      </c>
      <c r="J26" s="30"/>
    </row>
    <row r="27" spans="1:9" ht="12.75">
      <c r="A27" s="50"/>
      <c r="B27" s="50"/>
      <c r="C27" s="50"/>
      <c r="D27" s="50"/>
      <c r="E27" s="50"/>
      <c r="F27" s="50"/>
      <c r="G27" s="50"/>
      <c r="H27" s="50"/>
      <c r="I27" s="50"/>
    </row>
    <row r="28" spans="1:10" ht="14.25" customHeight="1">
      <c r="A28" s="91" t="s">
        <v>494</v>
      </c>
      <c r="B28" s="92"/>
      <c r="C28" s="93"/>
      <c r="D28" s="91" t="s">
        <v>505</v>
      </c>
      <c r="E28" s="92"/>
      <c r="F28" s="93"/>
      <c r="G28" s="91" t="s">
        <v>517</v>
      </c>
      <c r="H28" s="92"/>
      <c r="I28" s="93"/>
      <c r="J28" s="31"/>
    </row>
    <row r="29" spans="1:10" ht="14.25" customHeight="1">
      <c r="A29" s="88"/>
      <c r="B29" s="89"/>
      <c r="C29" s="90"/>
      <c r="D29" s="88"/>
      <c r="E29" s="89"/>
      <c r="F29" s="90"/>
      <c r="G29" s="88"/>
      <c r="H29" s="89"/>
      <c r="I29" s="90"/>
      <c r="J29" s="31"/>
    </row>
    <row r="30" spans="1:10" ht="14.25" customHeight="1">
      <c r="A30" s="88"/>
      <c r="B30" s="89"/>
      <c r="C30" s="90"/>
      <c r="D30" s="88"/>
      <c r="E30" s="89"/>
      <c r="F30" s="90"/>
      <c r="G30" s="88"/>
      <c r="H30" s="89"/>
      <c r="I30" s="90"/>
      <c r="J30" s="31"/>
    </row>
    <row r="31" spans="1:10" ht="14.25" customHeight="1">
      <c r="A31" s="88"/>
      <c r="B31" s="89"/>
      <c r="C31" s="90"/>
      <c r="D31" s="88"/>
      <c r="E31" s="89"/>
      <c r="F31" s="90"/>
      <c r="G31" s="88"/>
      <c r="H31" s="89"/>
      <c r="I31" s="90"/>
      <c r="J31" s="31"/>
    </row>
    <row r="32" spans="1:10" ht="14.25" customHeight="1">
      <c r="A32" s="85" t="s">
        <v>495</v>
      </c>
      <c r="B32" s="86"/>
      <c r="C32" s="87"/>
      <c r="D32" s="85" t="s">
        <v>495</v>
      </c>
      <c r="E32" s="86"/>
      <c r="F32" s="87"/>
      <c r="G32" s="85" t="s">
        <v>495</v>
      </c>
      <c r="H32" s="86"/>
      <c r="I32" s="87"/>
      <c r="J32" s="31"/>
    </row>
    <row r="33" spans="1:9" ht="12.75">
      <c r="A33" s="51"/>
      <c r="B33" s="51"/>
      <c r="C33" s="51"/>
      <c r="D33" s="51"/>
      <c r="E33" s="51"/>
      <c r="F33" s="51"/>
      <c r="G33" s="51"/>
      <c r="H33" s="51"/>
      <c r="I33" s="51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Nešpor</dc:creator>
  <cp:keywords/>
  <dc:description/>
  <cp:lastModifiedBy>uzivatel</cp:lastModifiedBy>
  <dcterms:created xsi:type="dcterms:W3CDTF">2013-08-05T08:23:38Z</dcterms:created>
  <dcterms:modified xsi:type="dcterms:W3CDTF">2013-08-05T08:25:20Z</dcterms:modified>
  <cp:category/>
  <cp:version/>
  <cp:contentType/>
  <cp:contentStatus/>
</cp:coreProperties>
</file>