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<sst xmlns="http://schemas.openxmlformats.org/spreadsheetml/2006/main" count="599" uniqueCount="340">
  <si>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</si>
  <si>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</si>
  <si>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</si>
  <si>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</si>
  <si>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</si>
  <si>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</si>
  <si>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</si>
  <si>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</si>
  <si>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</si>
  <si>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</si>
  <si>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</si>
  <si>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</si>
  <si>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</si>
  <si>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</si>
  <si>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</si>
  <si>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</si>
  <si>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</si>
  <si>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</si>
  <si>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</si>
  <si>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</si>
  <si>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</si>
  <si>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</si>
  <si>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</si>
  <si>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</si>
  <si>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</si>
  <si>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</si>
  <si>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</si>
  <si>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</si>
  <si>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</si>
  <si>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</si>
  <si>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</si>
  <si>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</si>
  <si>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</si>
  <si>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</si>
  <si>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</si>
  <si>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</si>
  <si>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</si>
  <si>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</si>
  <si>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</si>
  <si>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</si>
  <si>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</si>
  <si>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</si>
  <si>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</si>
  <si>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</si>
  <si>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</si>
  <si>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</si>
  <si>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</si>
  <si>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</si>
  <si>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</si>
  <si>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</si>
  <si>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</si>
  <si>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</si>
  <si>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</si>
  <si>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</si>
  <si>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</si>
  <si>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</si>
  <si>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</si>
  <si>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</si>
  <si>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</si>
  <si>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</si>
  <si>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</si>
  <si>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</si>
  <si>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</si>
  <si>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</si>
  <si>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</si>
  <si>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</si>
  <si>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</si>
  <si>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</si>
  <si>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</si>
  <si>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</si>
  <si>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</si>
  <si>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</si>
  <si>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</si>
  <si>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</si>
  <si>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</si>
  <si>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</si>
  <si>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</si>
  <si>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Objekt</t>
  </si>
  <si>
    <t>Kód</t>
  </si>
  <si>
    <t>113106121R00</t>
  </si>
  <si>
    <t>564231111R00</t>
  </si>
  <si>
    <t>567211210R00</t>
  </si>
  <si>
    <t>596215020R00</t>
  </si>
  <si>
    <t>596215025R00</t>
  </si>
  <si>
    <t>59245020</t>
  </si>
  <si>
    <t>612421331R00</t>
  </si>
  <si>
    <t>612409991R00</t>
  </si>
  <si>
    <t>611421231RT2</t>
  </si>
  <si>
    <t>612421321R00</t>
  </si>
  <si>
    <t>631312511R00</t>
  </si>
  <si>
    <t>642942111RT5</t>
  </si>
  <si>
    <t>769000010R00</t>
  </si>
  <si>
    <t>61143031</t>
  </si>
  <si>
    <t>61161725</t>
  </si>
  <si>
    <t>61173151</t>
  </si>
  <si>
    <t>61181253</t>
  </si>
  <si>
    <t>648991113RT2</t>
  </si>
  <si>
    <t>721</t>
  </si>
  <si>
    <t>721176125R00</t>
  </si>
  <si>
    <t>721176103R00</t>
  </si>
  <si>
    <t>721176144R00</t>
  </si>
  <si>
    <t>721194109R00</t>
  </si>
  <si>
    <t>721273200RT2</t>
  </si>
  <si>
    <t>721194105R00</t>
  </si>
  <si>
    <t>722</t>
  </si>
  <si>
    <t>722172311R00</t>
  </si>
  <si>
    <t>722172331R00</t>
  </si>
  <si>
    <t>722173912R00</t>
  </si>
  <si>
    <t>722181214R00</t>
  </si>
  <si>
    <t>725</t>
  </si>
  <si>
    <t>725110811R00</t>
  </si>
  <si>
    <t>725210821R00</t>
  </si>
  <si>
    <t>725219401R00</t>
  </si>
  <si>
    <t>725650805R00</t>
  </si>
  <si>
    <t>725659102R00</t>
  </si>
  <si>
    <t>725119306R00</t>
  </si>
  <si>
    <t>725820801R00</t>
  </si>
  <si>
    <t>725KO002VD</t>
  </si>
  <si>
    <t>725KO004VD</t>
  </si>
  <si>
    <t>725KO007VD</t>
  </si>
  <si>
    <t>725KO008VD</t>
  </si>
  <si>
    <t>725KO009VD</t>
  </si>
  <si>
    <t>725KO010VD</t>
  </si>
  <si>
    <t>725KO011VD</t>
  </si>
  <si>
    <t>725KO013VD</t>
  </si>
  <si>
    <t>541KO001VD</t>
  </si>
  <si>
    <t>764</t>
  </si>
  <si>
    <t>764900050RA0</t>
  </si>
  <si>
    <t>764908306RT1</t>
  </si>
  <si>
    <t>766</t>
  </si>
  <si>
    <t>766661122R00</t>
  </si>
  <si>
    <t>771</t>
  </si>
  <si>
    <t>771575107R00</t>
  </si>
  <si>
    <t>597F1VD</t>
  </si>
  <si>
    <t>781</t>
  </si>
  <si>
    <t>781415013R00</t>
  </si>
  <si>
    <t>781497121R00</t>
  </si>
  <si>
    <t>771KO2VD</t>
  </si>
  <si>
    <t>784</t>
  </si>
  <si>
    <t>784195412R00</t>
  </si>
  <si>
    <t>784191201R00</t>
  </si>
  <si>
    <t>96</t>
  </si>
  <si>
    <t>969021111R00</t>
  </si>
  <si>
    <t>969011121R00</t>
  </si>
  <si>
    <t>968072455R00</t>
  </si>
  <si>
    <t>968062355R00</t>
  </si>
  <si>
    <t>968061125R00</t>
  </si>
  <si>
    <t>965081713RT2</t>
  </si>
  <si>
    <t>965042131R00</t>
  </si>
  <si>
    <t>97</t>
  </si>
  <si>
    <t>978059521R00</t>
  </si>
  <si>
    <t>971035251R00</t>
  </si>
  <si>
    <t>974031153R00</t>
  </si>
  <si>
    <t>972054141R00</t>
  </si>
  <si>
    <t>S</t>
  </si>
  <si>
    <t>979082111R00</t>
  </si>
  <si>
    <t>979083191R00</t>
  </si>
  <si>
    <t>979083117R00</t>
  </si>
  <si>
    <t>979000VD</t>
  </si>
  <si>
    <t>H01</t>
  </si>
  <si>
    <t>998011001R00</t>
  </si>
  <si>
    <t>Veřejné WC - ETAPA č.1</t>
  </si>
  <si>
    <t>Stavební úpravy</t>
  </si>
  <si>
    <t>Kolín, STP č.3829 - Kolínský hřbitov</t>
  </si>
  <si>
    <t>801</t>
  </si>
  <si>
    <t>Zkrácený popis</t>
  </si>
  <si>
    <t>Přípravné a přidružené práce</t>
  </si>
  <si>
    <t>Rozebrání dlažeb z betonových dlaždic na sucho</t>
  </si>
  <si>
    <t>Podkladní vrstvy komunikací a zpevněných ploch</t>
  </si>
  <si>
    <t>Podklad ze štěrkopísku po zhutnění tloušťky 10 cm</t>
  </si>
  <si>
    <t>Podklad z prostého betonu tř. II  tloušťky 10 cm</t>
  </si>
  <si>
    <t>Dlažby a předlažby pozemních komunikací a zpevněných ploch</t>
  </si>
  <si>
    <t>Kladení zámkové dlažby tl. 6 cm do drtě tl. 3 cm</t>
  </si>
  <si>
    <t>Příplatek za kladení dlažby tl. 6cm, drť, do100 m2</t>
  </si>
  <si>
    <t>Dlažba zámková H-PROFIL 20x16,5x6 cm přírodní ztr.1%</t>
  </si>
  <si>
    <t>Úprava povrchů vnitřní</t>
  </si>
  <si>
    <t>Oprava vápen.omítek stěn do 30 % pl. - štukových</t>
  </si>
  <si>
    <t>Začištění omítek kolem oken,dveří apod. vnitřní a vnější</t>
  </si>
  <si>
    <t>Oprava váp.omítek stropů do 10% plochy - štukových</t>
  </si>
  <si>
    <t>Oprava vápen.omítek stěn do 30 % pl., hladkých pod obklady</t>
  </si>
  <si>
    <t>Podlahy a podlahové konstrukce</t>
  </si>
  <si>
    <t>Mazanina betonová tl. 5 - 8 cm C 12/15  (B 12,5)</t>
  </si>
  <si>
    <t>Výplně otvorů</t>
  </si>
  <si>
    <t>Osazení zárubní dveřních ocelových, pl. do 2,5 m2</t>
  </si>
  <si>
    <t>Montáž plastových oken s vypěněním + vstup.dveře</t>
  </si>
  <si>
    <t>Okno plastové jednodílné 90 x 120 cm OS</t>
  </si>
  <si>
    <t>Dveře vnitřní hladké plné 1kř. 90x197 cm dýha dub</t>
  </si>
  <si>
    <t>Dveře vchodové plné palubkové 90x210 cm</t>
  </si>
  <si>
    <t>Zárubeň rámová pro dveře 1křídlové 90x210 cm</t>
  </si>
  <si>
    <t>Osazení parapetních desek z plast. hmot š.nad 20cm</t>
  </si>
  <si>
    <t>Vnitřní kanalizace</t>
  </si>
  <si>
    <t>Potrubí  svodné (ležaté) v zemi DN 100 x 2,7 mm</t>
  </si>
  <si>
    <t>Potrubí  připojovací DN 50 x 1,8 mm</t>
  </si>
  <si>
    <t>Potrubí   (svislé) DN 70 x 1,9 mm</t>
  </si>
  <si>
    <t>Vyvedení odpadních výpustek D 110 x 2,3</t>
  </si>
  <si>
    <t>Ventilační střešní souprava</t>
  </si>
  <si>
    <t>Vyvedení odpadních výpustek D 50 x 1,8</t>
  </si>
  <si>
    <t>Vnitřní vodovod</t>
  </si>
  <si>
    <t>Potrubí z PPR  studená, D 20/2,8 mm</t>
  </si>
  <si>
    <t>Potrubí z PPR  teplá, D 20/3,4 mm</t>
  </si>
  <si>
    <t>Spoje pro rozvod vody plast polyf. DN 20</t>
  </si>
  <si>
    <t>Izolace návleková MIRELON PRO tl. stěny 20 mm</t>
  </si>
  <si>
    <t>Zařizovací předměty</t>
  </si>
  <si>
    <t>Demontáž klozetů splachovacích</t>
  </si>
  <si>
    <t>Demontáž umyvadel bez výtokových armatur</t>
  </si>
  <si>
    <t>Montáž umyvadel na šrouby do zdiva</t>
  </si>
  <si>
    <t>Demontáž těles otopných plynových podokenních</t>
  </si>
  <si>
    <t>Montáž těles otopných plyn., odtah.stěna, 1 otvor</t>
  </si>
  <si>
    <t>Montáž klozetu</t>
  </si>
  <si>
    <t>Demontáž baterie  do G 3/4</t>
  </si>
  <si>
    <t>Klozet.mísa pro invalidy SANELA</t>
  </si>
  <si>
    <t>Umyvadlo pro invalidy SANELA</t>
  </si>
  <si>
    <t>Mýdelník do zdi SANELA</t>
  </si>
  <si>
    <t>Držák toalet papíru SANELA</t>
  </si>
  <si>
    <t>Madlo SANELA</t>
  </si>
  <si>
    <t>Záchod.. sedátko SANELA</t>
  </si>
  <si>
    <t>Ovládání WC SANELA</t>
  </si>
  <si>
    <t>Automat.baterie ANTIVANDAL</t>
  </si>
  <si>
    <t>Plynové topidlo KARMA BETA 2</t>
  </si>
  <si>
    <t>Konstrukce klempířské</t>
  </si>
  <si>
    <t>Demontáž oplechování parapetů</t>
  </si>
  <si>
    <t>Oplechování parapetů poplast. ocel plech rš 250 mm, enkolit</t>
  </si>
  <si>
    <t>Konstrukce truhlářské</t>
  </si>
  <si>
    <t>Montáž dveří do zárubně,otevíravých 1kř.nad 0,8 m</t>
  </si>
  <si>
    <t>Podlahy z dlaždic</t>
  </si>
  <si>
    <t>Montáž podlah keram.,režné hladké, tmel, 20x20 cm</t>
  </si>
  <si>
    <t>Dlažba  ztrat.4% ( plocha + sokl )</t>
  </si>
  <si>
    <t>Obklady (keramické)</t>
  </si>
  <si>
    <t>Montáž obkladů stěn, porovin., do tmele, 15x15 cm</t>
  </si>
  <si>
    <t>Lišta hliníkové  k obkladům do tmele rohové</t>
  </si>
  <si>
    <t>Keramický obklad - orientační cena,ztrat. 4%</t>
  </si>
  <si>
    <t>Malby</t>
  </si>
  <si>
    <t>Malba tekutá Primalex Polar, bílá, 2 x</t>
  </si>
  <si>
    <t>Penetrace podkladu hloubková Primalex 1x</t>
  </si>
  <si>
    <t>Bourání konstrukcí</t>
  </si>
  <si>
    <t>Vybourání kanalizačního potrubí DN do 100 mm</t>
  </si>
  <si>
    <t>Vybourání vodovod., plynového vedení DN do 52 mm</t>
  </si>
  <si>
    <t>Vybourání  dveřních zárubní pl. do 2 m2</t>
  </si>
  <si>
    <t>Vybourání dřevěných rámů oken dvojitých</t>
  </si>
  <si>
    <t>Vyvěšení dřevěných dveřních křídel pl. do 2 m2</t>
  </si>
  <si>
    <t>Bourání dlaždic keramických tl. 1 cm, nad 1 m2</t>
  </si>
  <si>
    <t>Bourání mazanin betonových  tl. 10 cm, pl. 4 m2</t>
  </si>
  <si>
    <t>Prorážení otvorů a ostatní bourací práce</t>
  </si>
  <si>
    <t>Odsekání vnitřních obkladů stěn</t>
  </si>
  <si>
    <t>Vybourání otv. zeď cihel.  tl. 45 cm,  plyn topidla a odvětrání</t>
  </si>
  <si>
    <t>Vysekání rýh ve zdi cihelné 10 x 10 cm</t>
  </si>
  <si>
    <t>Vybourání otv. stropy ŽB pl. 0,0225 m2, tl. 15 cm TZB</t>
  </si>
  <si>
    <t>Přesuny sutí</t>
  </si>
  <si>
    <t>Vnitrostaveništní doprava suti do 10 m</t>
  </si>
  <si>
    <t>Příplatek za dalších započatých 1000 m nad 6000 m</t>
  </si>
  <si>
    <t>Vodorovné přemístění suti na skládku do 6000 m</t>
  </si>
  <si>
    <t>Poplatek za skládku</t>
  </si>
  <si>
    <t>Budovy občanské výstavby</t>
  </si>
  <si>
    <t>Přesun hmot pro budovy zděné výšky do 6 m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</si>
  <si>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</si>
  <si>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</si>
  <si>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</si>
  <si>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</si>
  <si>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</si>
  <si>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</si>
  <si>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</si>
  <si>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m3</t>
  </si>
  <si>
    <t>kus</t>
  </si>
  <si>
    <t>soubor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</si>
  <si>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</si>
  <si>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</si>
  <si>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</si>
  <si>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</si>
  <si>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</si>
  <si>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</si>
  <si>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</si>
  <si>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</si>
  <si>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</si>
  <si>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</si>
  <si>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</si>
  <si>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</si>
  <si>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Kolín, Karlovo náměstí čp.78</t>
  </si>
  <si>
    <t>Ing. J.Charvát, Kolín, Okružní 1144</t>
  </si>
  <si>
    <t>Ing. Jan Forejt</t>
  </si>
  <si>
    <t>Celkem</t>
  </si>
  <si>
    <t>Hmotnost (t)</t>
  </si>
  <si>
    <t>0</t>
  </si>
  <si>
    <t>Přesuny</t>
  </si>
  <si>
    <t>Typ skupiny</t>
  </si>
  <si>
    <t>HS</t>
  </si>
  <si>
    <t>PS</t>
  </si>
  <si>
    <t>PR</t>
  </si>
  <si>
    <t>HSV mat</t>
  </si>
  <si>
    <t>HSV prac</t>
  </si>
  <si>
    <t>PSV mat</t>
  </si>
  <si>
    <t>PSV prac</t>
  </si>
  <si>
    <t>Mont mat</t>
  </si>
  <si>
    <t>Mont prac</t>
  </si>
  <si>
    <t>Ostatní mat.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</si>
  <si>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</si>
  <si>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</si>
  <si>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</si>
  <si>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</si>
  <si>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</si>
  <si>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</si>
  <si>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</si>
  <si>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</si>
  <si>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</si>
  <si>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</si>
  <si>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</si>
  <si>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</si>
  <si>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</si>
  <si>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</si>
  <si>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</si>
  <si>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</si>
  <si>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14%</t>
  </si>
  <si>
    <t>Základ 20%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</si>
  <si>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</si>
  <si>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</si>
  <si>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</si>
  <si>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</si>
  <si>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</si>
  <si>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</si>
  <si>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</si>
  <si>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</si>
  <si>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</si>
  <si>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14%</t>
  </si>
  <si>
    <t>DPH 20%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</si>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</sst>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0" fillId="20" borderId="0" applyNumberFormat="0" applyBorder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1">
    <xf numFmtId="0" fontId="1" fillId="0" borderId="0" xfId="0" applyFont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33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20" xfId="0" applyNumberFormat="1" applyFont="1" applyFill="1" applyBorder="1" applyAlignment="1" applyProtection="1">
      <alignment horizontal="left" vertical="center"/>
      <protection/>
    </xf>
    <xf numFmtId="49" fontId="3" fillId="33" borderId="16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33" borderId="16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0" fontId="3" fillId="33" borderId="16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33" borderId="16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6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34" xfId="0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49" fontId="6" fillId="33" borderId="38" xfId="0" applyNumberFormat="1" applyFont="1" applyFill="1" applyBorder="1" applyAlignment="1" applyProtection="1">
      <alignment horizontal="center" vertical="center"/>
      <protection/>
    </xf>
    <xf numFmtId="49" fontId="7" fillId="0" borderId="39" xfId="0" applyNumberFormat="1" applyFont="1" applyFill="1" applyBorder="1" applyAlignment="1" applyProtection="1">
      <alignment horizontal="left" vertical="center"/>
      <protection/>
    </xf>
    <xf numFmtId="49" fontId="7" fillId="0" borderId="40" xfId="0" applyNumberFormat="1" applyFont="1" applyFill="1" applyBorder="1" applyAlignment="1" applyProtection="1">
      <alignment horizontal="left" vertical="center"/>
      <protection/>
    </xf>
    <xf numFmtId="49" fontId="7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9" fontId="7" fillId="33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vertical="center"/>
      <protection/>
    </xf>
    <xf numFmtId="49" fontId="8" fillId="0" borderId="43" xfId="0" applyNumberFormat="1" applyFont="1" applyFill="1" applyBorder="1" applyAlignment="1" applyProtection="1">
      <alignment horizontal="left" vertical="center"/>
      <protection/>
    </xf>
    <xf numFmtId="49" fontId="8" fillId="0" borderId="32" xfId="0" applyNumberFormat="1" applyFont="1" applyFill="1" applyBorder="1" applyAlignment="1" applyProtection="1">
      <alignment horizontal="left" vertical="center"/>
      <protection/>
    </xf>
    <xf numFmtId="49" fontId="8" fillId="0" borderId="44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left" vertical="center"/>
      <protection/>
    </xf>
    <xf numFmtId="49" fontId="8" fillId="0" borderId="38" xfId="0" applyNumberFormat="1" applyFont="1" applyFill="1" applyBorder="1" applyAlignment="1" applyProtection="1">
      <alignment horizontal="left" vertical="center"/>
      <protection/>
    </xf>
    <xf numFmtId="0" fontId="7" fillId="0" borderId="45" xfId="0" applyNumberFormat="1" applyFont="1" applyFill="1" applyBorder="1" applyAlignment="1" applyProtection="1">
      <alignment horizontal="left" vertical="center"/>
      <protection/>
    </xf>
    <xf numFmtId="0" fontId="7" fillId="33" borderId="37" xfId="0" applyNumberFormat="1" applyFont="1" applyFill="1" applyBorder="1" applyAlignment="1" applyProtection="1">
      <alignment horizontal="left" vertical="center"/>
      <protection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8" xfId="0" applyNumberFormat="1" applyFont="1" applyFill="1" applyBorder="1" applyAlignment="1" applyProtection="1">
      <alignment horizontal="left" vertical="center"/>
      <protection/>
    </xf>
    <xf numFmtId="0" fontId="9" fillId="0" borderId="45" xfId="0" applyNumberFormat="1" applyFont="1" applyFill="1" applyBorder="1" applyAlignment="1" applyProtection="1">
      <alignment horizontal="left" vertical="center"/>
      <protection/>
    </xf>
    <xf numFmtId="0" fontId="8" fillId="0" borderId="38" xfId="0" applyNumberFormat="1" applyFont="1" applyFill="1" applyBorder="1" applyAlignment="1" applyProtection="1">
      <alignment horizontal="right" vertical="center"/>
      <protection/>
    </xf>
    <xf numFmtId="0" fontId="7" fillId="33" borderId="45" xfId="0" applyNumberFormat="1" applyFont="1" applyFill="1" applyBorder="1" applyAlignment="1" applyProtection="1">
      <alignment horizontal="right" vertical="center"/>
      <protection/>
    </xf>
    <xf numFmtId="0" fontId="8" fillId="0" borderId="46" xfId="0" applyNumberFormat="1" applyFont="1" applyFill="1" applyBorder="1" applyAlignment="1" applyProtection="1">
      <alignment horizontal="left" vertical="center"/>
      <protection/>
    </xf>
    <xf numFmtId="0" fontId="8" fillId="0" borderId="47" xfId="0" applyNumberFormat="1" applyFont="1" applyFill="1" applyBorder="1" applyAlignment="1" applyProtection="1">
      <alignment horizontal="left" vertical="center"/>
      <protection/>
    </xf>
    <xf numFmtId="0" fontId="8" fillId="0" borderId="48" xfId="0" applyNumberFormat="1" applyFont="1" applyFill="1" applyBorder="1" applyAlignment="1" applyProtection="1">
      <alignment horizontal="left" vertical="center"/>
      <protection/>
    </xf>
    <xf numFmtId="49" fontId="8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8" fillId="0" borderId="45" xfId="0" applyNumberFormat="1" applyFont="1" applyFill="1" applyBorder="1" applyAlignment="1" applyProtection="1">
      <alignment horizontal="left" vertical="center"/>
      <protection/>
    </xf>
    <xf numFmtId="49" fontId="8" fillId="0" borderId="38" xfId="0" applyNumberFormat="1" applyFont="1" applyFill="1" applyBorder="1" applyAlignment="1" applyProtection="1">
      <alignment horizontal="right" vertical="center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14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00"/>
  <sheetViews>
    <sheetView tabSelected="1" zoomScalePageLayoutView="0" workbookViewId="0" topLeftCell="A1">
      <selection activeCell="A1" sqref="A1:L1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51.28125" style="0" customWidth="1"/>
    <col min="5" max="5" width="4.28125" style="0" customWidth="1"/>
    <col min="6" max="6" width="10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 ht="12.75">
      <c r="A2" s="2" t="s">
        <v>1</v>
      </c>
      <c r="B2" s="14"/>
      <c r="C2" s="14"/>
      <c r="D2" s="21" t="s">
        <v>161</v>
      </c>
      <c r="E2" s="26" t="s">
        <v>254</v>
      </c>
      <c r="F2" s="14"/>
      <c r="G2" s="26"/>
      <c r="H2" s="14"/>
      <c r="I2" s="26" t="s">
        <v>271</v>
      </c>
      <c r="J2" s="26" t="s">
        <v>276</v>
      </c>
      <c r="K2" s="14"/>
      <c r="L2" s="45"/>
      <c r="M2" s="48"/>
    </row>
    <row r="3" spans="1:13" ht="12.75">
      <c r="A3" s="3"/>
      <c r="B3" s="15"/>
      <c r="C3" s="15"/>
      <c r="D3" s="22"/>
      <c r="E3" s="15"/>
      <c r="F3" s="15"/>
      <c r="G3" s="15"/>
      <c r="H3" s="15"/>
      <c r="I3" s="15"/>
      <c r="J3" s="15"/>
      <c r="K3" s="15"/>
      <c r="L3" s="46"/>
      <c r="M3" s="48"/>
    </row>
    <row r="4" spans="1:13" ht="12.75">
      <c r="A4" s="4" t="s">
        <v>2</v>
      </c>
      <c r="B4" s="15"/>
      <c r="C4" s="15"/>
      <c r="D4" s="23" t="s">
        <v>162</v>
      </c>
      <c r="E4" s="23" t="s">
        <v>255</v>
      </c>
      <c r="F4" s="15"/>
      <c r="G4" s="32">
        <v>41217</v>
      </c>
      <c r="H4" s="15"/>
      <c r="I4" s="23" t="s">
        <v>272</v>
      </c>
      <c r="J4" s="23" t="s">
        <v>277</v>
      </c>
      <c r="K4" s="15"/>
      <c r="L4" s="46"/>
      <c r="M4" s="48"/>
    </row>
    <row r="5" spans="1:13" ht="12.75">
      <c r="A5" s="3"/>
      <c r="B5" s="15"/>
      <c r="C5" s="15"/>
      <c r="D5" s="15"/>
      <c r="E5" s="15"/>
      <c r="F5" s="15"/>
      <c r="G5" s="15"/>
      <c r="H5" s="15"/>
      <c r="I5" s="15"/>
      <c r="J5" s="15"/>
      <c r="K5" s="15"/>
      <c r="L5" s="46"/>
      <c r="M5" s="48"/>
    </row>
    <row r="6" spans="1:13" ht="12.75">
      <c r="A6" s="4" t="s">
        <v>3</v>
      </c>
      <c r="B6" s="15"/>
      <c r="C6" s="15"/>
      <c r="D6" s="23" t="s">
        <v>163</v>
      </c>
      <c r="E6" s="23" t="s">
        <v>256</v>
      </c>
      <c r="F6" s="15"/>
      <c r="G6" s="15"/>
      <c r="H6" s="15"/>
      <c r="I6" s="23" t="s">
        <v>273</v>
      </c>
      <c r="J6" s="23"/>
      <c r="K6" s="15"/>
      <c r="L6" s="46"/>
      <c r="M6" s="48"/>
    </row>
    <row r="7" spans="1:13" ht="12.7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46"/>
      <c r="M7" s="48"/>
    </row>
    <row r="8" spans="1:13" ht="12.75">
      <c r="A8" s="4" t="s">
        <v>4</v>
      </c>
      <c r="B8" s="15"/>
      <c r="C8" s="15"/>
      <c r="D8" s="23" t="s">
        <v>164</v>
      </c>
      <c r="E8" s="23" t="s">
        <v>257</v>
      </c>
      <c r="F8" s="15"/>
      <c r="G8" s="32">
        <v>41217</v>
      </c>
      <c r="H8" s="15"/>
      <c r="I8" s="23" t="s">
        <v>274</v>
      </c>
      <c r="J8" s="23" t="s">
        <v>278</v>
      </c>
      <c r="K8" s="15"/>
      <c r="L8" s="46"/>
      <c r="M8" s="48"/>
    </row>
    <row r="9" spans="1:13" ht="12.75">
      <c r="A9" s="5"/>
      <c r="B9" s="16"/>
      <c r="C9" s="16"/>
      <c r="D9" s="16"/>
      <c r="E9" s="16"/>
      <c r="F9" s="16"/>
      <c r="G9" s="16"/>
      <c r="H9" s="16"/>
      <c r="I9" s="16"/>
      <c r="J9" s="16"/>
      <c r="K9" s="16"/>
      <c r="L9" s="47"/>
      <c r="M9" s="48"/>
    </row>
    <row r="10" spans="1:13" ht="12.75">
      <c r="A10" s="6" t="s">
        <v>5</v>
      </c>
      <c r="B10" s="17" t="s">
        <v>5</v>
      </c>
      <c r="C10" s="17" t="s">
        <v>5</v>
      </c>
      <c r="D10" s="17" t="s">
        <v>5</v>
      </c>
      <c r="E10" s="17" t="s">
        <v>5</v>
      </c>
      <c r="F10" s="17" t="s">
        <v>5</v>
      </c>
      <c r="G10" s="33" t="s">
        <v>266</v>
      </c>
      <c r="H10" s="36" t="s">
        <v>268</v>
      </c>
      <c r="I10" s="38"/>
      <c r="J10" s="41"/>
      <c r="K10" s="36" t="s">
        <v>280</v>
      </c>
      <c r="L10" s="41"/>
      <c r="M10" s="49"/>
    </row>
    <row r="11" spans="1:24" ht="12.75">
      <c r="A11" s="7" t="s">
        <v>6</v>
      </c>
      <c r="B11" s="18" t="s">
        <v>77</v>
      </c>
      <c r="C11" s="18" t="s">
        <v>78</v>
      </c>
      <c r="D11" s="18" t="s">
        <v>165</v>
      </c>
      <c r="E11" s="18" t="s">
        <v>258</v>
      </c>
      <c r="F11" s="29" t="s">
        <v>265</v>
      </c>
      <c r="G11" s="34" t="s">
        <v>267</v>
      </c>
      <c r="H11" s="37" t="s">
        <v>269</v>
      </c>
      <c r="I11" s="39" t="s">
        <v>275</v>
      </c>
      <c r="J11" s="42" t="s">
        <v>279</v>
      </c>
      <c r="K11" s="37" t="s">
        <v>266</v>
      </c>
      <c r="L11" s="42" t="s">
        <v>279</v>
      </c>
      <c r="M11" s="49"/>
      <c r="P11" s="44" t="s">
        <v>282</v>
      </c>
      <c r="Q11" s="44" t="s">
        <v>283</v>
      </c>
      <c r="R11" s="44" t="s">
        <v>287</v>
      </c>
      <c r="S11" s="44" t="s">
        <v>288</v>
      </c>
      <c r="T11" s="44" t="s">
        <v>289</v>
      </c>
      <c r="U11" s="44" t="s">
        <v>290</v>
      </c>
      <c r="V11" s="44" t="s">
        <v>291</v>
      </c>
      <c r="W11" s="44" t="s">
        <v>292</v>
      </c>
      <c r="X11" s="44" t="s">
        <v>293</v>
      </c>
    </row>
    <row r="12" spans="1:37" ht="12.75">
      <c r="A12" s="8"/>
      <c r="B12" s="8"/>
      <c r="C12" s="19" t="s">
        <v>17</v>
      </c>
      <c r="D12" s="24" t="s">
        <v>166</v>
      </c>
      <c r="E12" s="27"/>
      <c r="F12" s="27"/>
      <c r="G12" s="27"/>
      <c r="H12" s="51">
        <f>SUM(H13:H13)</f>
        <v>0</v>
      </c>
      <c r="I12" s="51">
        <f>SUM(I13:I13)</f>
        <v>0</v>
      </c>
      <c r="J12" s="51">
        <f>H12+I12</f>
        <v>0</v>
      </c>
      <c r="K12" s="43"/>
      <c r="L12" s="51">
        <f>SUM(L13:L13)</f>
        <v>7.8660000000000005</v>
      </c>
      <c r="P12" s="52">
        <f>IF(Q12="PR",J12,SUM(O13:O13))</f>
        <v>0</v>
      </c>
      <c r="Q12" s="44" t="s">
        <v>284</v>
      </c>
      <c r="R12" s="52">
        <f>IF(Q12="HS",H12,0)</f>
        <v>0</v>
      </c>
      <c r="S12" s="52">
        <f>IF(Q12="HS",I12-P12,0)</f>
        <v>0</v>
      </c>
      <c r="T12" s="52">
        <f>IF(Q12="PS",H12,0)</f>
        <v>0</v>
      </c>
      <c r="U12" s="52">
        <f>IF(Q12="PS",I12-P12,0)</f>
        <v>0</v>
      </c>
      <c r="V12" s="52">
        <f>IF(Q12="MP",H12,0)</f>
        <v>0</v>
      </c>
      <c r="W12" s="52">
        <f>IF(Q12="MP",I12-P12,0)</f>
        <v>0</v>
      </c>
      <c r="X12" s="52">
        <f>IF(Q12="OM",H12,0)</f>
        <v>0</v>
      </c>
      <c r="Y12" s="44"/>
      <c r="AI12" s="52">
        <f>SUM(Z13:Z13)</f>
        <v>0</v>
      </c>
      <c r="AJ12" s="52">
        <f>SUM(AA13:AA13)</f>
        <v>0</v>
      </c>
      <c r="AK12" s="52">
        <f>SUM(AB13:AB13)</f>
        <v>0</v>
      </c>
    </row>
    <row r="13" spans="1:32" ht="12.75">
      <c r="A13" s="9" t="s">
        <v>7</v>
      </c>
      <c r="B13" s="9"/>
      <c r="C13" s="9" t="s">
        <v>79</v>
      </c>
      <c r="D13" s="9" t="s">
        <v>167</v>
      </c>
      <c r="E13" s="9" t="s">
        <v>259</v>
      </c>
      <c r="F13" s="30">
        <v>57</v>
      </c>
      <c r="H13" s="30">
        <f>ROUND(F13*AE13,2)</f>
        <v>0</v>
      </c>
      <c r="I13" s="30">
        <f>J13-H13</f>
        <v>0</v>
      </c>
      <c r="J13" s="30">
        <f>ROUND(F13*G13,2)</f>
        <v>0</v>
      </c>
      <c r="K13" s="30">
        <v>0.138</v>
      </c>
      <c r="L13" s="30">
        <f>F13*K13</f>
        <v>7.8660000000000005</v>
      </c>
      <c r="N13" s="50" t="s">
        <v>7</v>
      </c>
      <c r="O13" s="30">
        <f>IF(N13="5",I13,0)</f>
        <v>0</v>
      </c>
      <c r="Z13" s="30">
        <f>IF(AD13=0,J13,0)</f>
        <v>0</v>
      </c>
      <c r="AA13" s="30">
        <f>IF(AD13=14,J13,0)</f>
        <v>0</v>
      </c>
      <c r="AB13" s="30">
        <f>IF(AD13=20,J13,0)</f>
        <v>0</v>
      </c>
      <c r="AD13" s="30">
        <v>20</v>
      </c>
      <c r="AE13" s="30">
        <f>G13*0</f>
        <v>0</v>
      </c>
      <c r="AF13" s="30">
        <f>G13*(1-0)</f>
        <v>0</v>
      </c>
    </row>
    <row r="14" spans="1:37" ht="12.75">
      <c r="A14" s="10"/>
      <c r="B14" s="10"/>
      <c r="C14" s="20" t="s">
        <v>62</v>
      </c>
      <c r="D14" s="25" t="s">
        <v>168</v>
      </c>
      <c r="E14" s="28"/>
      <c r="F14" s="28"/>
      <c r="G14" s="28"/>
      <c r="H14" s="52">
        <f>SUM(H15:H16)</f>
        <v>0</v>
      </c>
      <c r="I14" s="52">
        <f>SUM(I15:I16)</f>
        <v>0</v>
      </c>
      <c r="J14" s="52">
        <f>H14+I14</f>
        <v>0</v>
      </c>
      <c r="K14" s="44"/>
      <c r="L14" s="52">
        <f>SUM(L15:L16)</f>
        <v>25.978319999999997</v>
      </c>
      <c r="P14" s="52">
        <f>IF(Q14="PR",J14,SUM(O15:O16))</f>
        <v>0</v>
      </c>
      <c r="Q14" s="44" t="s">
        <v>284</v>
      </c>
      <c r="R14" s="52">
        <f>IF(Q14="HS",H14,0)</f>
        <v>0</v>
      </c>
      <c r="S14" s="52">
        <f>IF(Q14="HS",I14-P14,0)</f>
        <v>0</v>
      </c>
      <c r="T14" s="52">
        <f>IF(Q14="PS",H14,0)</f>
        <v>0</v>
      </c>
      <c r="U14" s="52">
        <f>IF(Q14="PS",I14-P14,0)</f>
        <v>0</v>
      </c>
      <c r="V14" s="52">
        <f>IF(Q14="MP",H14,0)</f>
        <v>0</v>
      </c>
      <c r="W14" s="52">
        <f>IF(Q14="MP",I14-P14,0)</f>
        <v>0</v>
      </c>
      <c r="X14" s="52">
        <f>IF(Q14="OM",H14,0)</f>
        <v>0</v>
      </c>
      <c r="Y14" s="44"/>
      <c r="AI14" s="52">
        <f>SUM(Z15:Z16)</f>
        <v>0</v>
      </c>
      <c r="AJ14" s="52">
        <f>SUM(AA15:AA16)</f>
        <v>0</v>
      </c>
      <c r="AK14" s="52">
        <f>SUM(AB15:AB16)</f>
        <v>0</v>
      </c>
    </row>
    <row r="15" spans="1:32" ht="12.75">
      <c r="A15" s="9" t="s">
        <v>8</v>
      </c>
      <c r="B15" s="9"/>
      <c r="C15" s="9" t="s">
        <v>80</v>
      </c>
      <c r="D15" s="9" t="s">
        <v>169</v>
      </c>
      <c r="E15" s="9" t="s">
        <v>259</v>
      </c>
      <c r="F15" s="30">
        <v>57</v>
      </c>
      <c r="H15" s="30">
        <f>ROUND(F15*AE15,2)</f>
        <v>0</v>
      </c>
      <c r="I15" s="30">
        <f>J15-H15</f>
        <v>0</v>
      </c>
      <c r="J15" s="30">
        <f>ROUND(F15*G15,2)</f>
        <v>0</v>
      </c>
      <c r="K15" s="30">
        <v>0.2024</v>
      </c>
      <c r="L15" s="30">
        <f>F15*K15</f>
        <v>11.5368</v>
      </c>
      <c r="N15" s="50" t="s">
        <v>7</v>
      </c>
      <c r="O15" s="30">
        <f>IF(N15="5",I15,0)</f>
        <v>0</v>
      </c>
      <c r="Z15" s="30">
        <f>IF(AD15=0,J15,0)</f>
        <v>0</v>
      </c>
      <c r="AA15" s="30">
        <f>IF(AD15=14,J15,0)</f>
        <v>0</v>
      </c>
      <c r="AB15" s="30">
        <f>IF(AD15=20,J15,0)</f>
        <v>0</v>
      </c>
      <c r="AD15" s="30">
        <v>20</v>
      </c>
      <c r="AE15" s="30">
        <f>G15*0.845535714285714</f>
        <v>0</v>
      </c>
      <c r="AF15" s="30">
        <f>G15*(1-0.845535714285714)</f>
        <v>0</v>
      </c>
    </row>
    <row r="16" spans="1:32" ht="12.75">
      <c r="A16" s="9" t="s">
        <v>9</v>
      </c>
      <c r="B16" s="9"/>
      <c r="C16" s="9" t="s">
        <v>81</v>
      </c>
      <c r="D16" s="9" t="s">
        <v>170</v>
      </c>
      <c r="E16" s="9" t="s">
        <v>259</v>
      </c>
      <c r="F16" s="30">
        <v>57</v>
      </c>
      <c r="H16" s="30">
        <f>ROUND(F16*AE16,2)</f>
        <v>0</v>
      </c>
      <c r="I16" s="30">
        <f>J16-H16</f>
        <v>0</v>
      </c>
      <c r="J16" s="30">
        <f>ROUND(F16*G16,2)</f>
        <v>0</v>
      </c>
      <c r="K16" s="30">
        <v>0.25336</v>
      </c>
      <c r="L16" s="30">
        <f>F16*K16</f>
        <v>14.441519999999999</v>
      </c>
      <c r="N16" s="50" t="s">
        <v>7</v>
      </c>
      <c r="O16" s="30">
        <f>IF(N16="5",I16,0)</f>
        <v>0</v>
      </c>
      <c r="Z16" s="30">
        <f>IF(AD16=0,J16,0)</f>
        <v>0</v>
      </c>
      <c r="AA16" s="30">
        <f>IF(AD16=14,J16,0)</f>
        <v>0</v>
      </c>
      <c r="AB16" s="30">
        <f>IF(AD16=20,J16,0)</f>
        <v>0</v>
      </c>
      <c r="AD16" s="30">
        <v>20</v>
      </c>
      <c r="AE16" s="30">
        <f>G16*0.806792378319676</f>
        <v>0</v>
      </c>
      <c r="AF16" s="30">
        <f>G16*(1-0.806792378319676)</f>
        <v>0</v>
      </c>
    </row>
    <row r="17" spans="1:37" ht="12.75">
      <c r="A17" s="10"/>
      <c r="B17" s="10"/>
      <c r="C17" s="20" t="s">
        <v>65</v>
      </c>
      <c r="D17" s="25" t="s">
        <v>171</v>
      </c>
      <c r="E17" s="28"/>
      <c r="F17" s="28"/>
      <c r="G17" s="28"/>
      <c r="H17" s="52">
        <f>SUM(H18:H20)</f>
        <v>0</v>
      </c>
      <c r="I17" s="52">
        <f>SUM(I18:I20)</f>
        <v>0</v>
      </c>
      <c r="J17" s="52">
        <f>H17+I17</f>
        <v>0</v>
      </c>
      <c r="K17" s="44"/>
      <c r="L17" s="52">
        <f>SUM(L18:L20)</f>
        <v>10.62561</v>
      </c>
      <c r="P17" s="52">
        <f>IF(Q17="PR",J17,SUM(O18:O20))</f>
        <v>0</v>
      </c>
      <c r="Q17" s="44" t="s">
        <v>284</v>
      </c>
      <c r="R17" s="52">
        <f>IF(Q17="HS",H17,0)</f>
        <v>0</v>
      </c>
      <c r="S17" s="52">
        <f>IF(Q17="HS",I17-P17,0)</f>
        <v>0</v>
      </c>
      <c r="T17" s="52">
        <f>IF(Q17="PS",H17,0)</f>
        <v>0</v>
      </c>
      <c r="U17" s="52">
        <f>IF(Q17="PS",I17-P17,0)</f>
        <v>0</v>
      </c>
      <c r="V17" s="52">
        <f>IF(Q17="MP",H17,0)</f>
        <v>0</v>
      </c>
      <c r="W17" s="52">
        <f>IF(Q17="MP",I17-P17,0)</f>
        <v>0</v>
      </c>
      <c r="X17" s="52">
        <f>IF(Q17="OM",H17,0)</f>
        <v>0</v>
      </c>
      <c r="Y17" s="44"/>
      <c r="AI17" s="52">
        <f>SUM(Z18:Z20)</f>
        <v>0</v>
      </c>
      <c r="AJ17" s="52">
        <f>SUM(AA18:AA20)</f>
        <v>0</v>
      </c>
      <c r="AK17" s="52">
        <f>SUM(AB18:AB20)</f>
        <v>0</v>
      </c>
    </row>
    <row r="18" spans="1:32" ht="12.75">
      <c r="A18" s="9" t="s">
        <v>10</v>
      </c>
      <c r="B18" s="9"/>
      <c r="C18" s="9" t="s">
        <v>82</v>
      </c>
      <c r="D18" s="9" t="s">
        <v>172</v>
      </c>
      <c r="E18" s="9" t="s">
        <v>259</v>
      </c>
      <c r="F18" s="30">
        <v>57</v>
      </c>
      <c r="H18" s="30">
        <f>ROUND(F18*AE18,2)</f>
        <v>0</v>
      </c>
      <c r="I18" s="30">
        <f>J18-H18</f>
        <v>0</v>
      </c>
      <c r="J18" s="30">
        <f>ROUND(F18*G18,2)</f>
        <v>0</v>
      </c>
      <c r="K18" s="30">
        <v>0.05545</v>
      </c>
      <c r="L18" s="30">
        <f>F18*K18</f>
        <v>3.16065</v>
      </c>
      <c r="N18" s="50" t="s">
        <v>7</v>
      </c>
      <c r="O18" s="30">
        <f>IF(N18="5",I18,0)</f>
        <v>0</v>
      </c>
      <c r="Z18" s="30">
        <f>IF(AD18=0,J18,0)</f>
        <v>0</v>
      </c>
      <c r="AA18" s="30">
        <f>IF(AD18=14,J18,0)</f>
        <v>0</v>
      </c>
      <c r="AB18" s="30">
        <f>IF(AD18=20,J18,0)</f>
        <v>0</v>
      </c>
      <c r="AD18" s="30">
        <v>20</v>
      </c>
      <c r="AE18" s="30">
        <f>G18*0.127127272727273</f>
        <v>0</v>
      </c>
      <c r="AF18" s="30">
        <f>G18*(1-0.127127272727273)</f>
        <v>0</v>
      </c>
    </row>
    <row r="19" spans="1:32" ht="12.75">
      <c r="A19" s="9" t="s">
        <v>11</v>
      </c>
      <c r="B19" s="9"/>
      <c r="C19" s="9" t="s">
        <v>83</v>
      </c>
      <c r="D19" s="9" t="s">
        <v>173</v>
      </c>
      <c r="E19" s="9" t="s">
        <v>259</v>
      </c>
      <c r="F19" s="30">
        <v>57</v>
      </c>
      <c r="H19" s="30">
        <f>ROUND(F19*AE19,2)</f>
        <v>0</v>
      </c>
      <c r="I19" s="30">
        <f>J19-H19</f>
        <v>0</v>
      </c>
      <c r="J19" s="30">
        <f>ROUND(F19*G19,2)</f>
        <v>0</v>
      </c>
      <c r="K19" s="30">
        <v>0</v>
      </c>
      <c r="L19" s="30">
        <f>F19*K19</f>
        <v>0</v>
      </c>
      <c r="N19" s="50" t="s">
        <v>7</v>
      </c>
      <c r="O19" s="30">
        <f>IF(N19="5",I19,0)</f>
        <v>0</v>
      </c>
      <c r="Z19" s="30">
        <f>IF(AD19=0,J19,0)</f>
        <v>0</v>
      </c>
      <c r="AA19" s="30">
        <f>IF(AD19=14,J19,0)</f>
        <v>0</v>
      </c>
      <c r="AB19" s="30">
        <f>IF(AD19=20,J19,0)</f>
        <v>0</v>
      </c>
      <c r="AD19" s="30">
        <v>20</v>
      </c>
      <c r="AE19" s="30">
        <f>G19*0</f>
        <v>0</v>
      </c>
      <c r="AF19" s="30">
        <f>G19*(1-0)</f>
        <v>0</v>
      </c>
    </row>
    <row r="20" spans="1:32" ht="12.75">
      <c r="A20" s="9" t="s">
        <v>12</v>
      </c>
      <c r="B20" s="9"/>
      <c r="C20" s="9" t="s">
        <v>84</v>
      </c>
      <c r="D20" s="9" t="s">
        <v>174</v>
      </c>
      <c r="E20" s="9" t="s">
        <v>259</v>
      </c>
      <c r="F20" s="30">
        <v>57.6</v>
      </c>
      <c r="H20" s="30">
        <f>ROUND(F20*AE20,2)</f>
        <v>0</v>
      </c>
      <c r="I20" s="30">
        <f>J20-H20</f>
        <v>0</v>
      </c>
      <c r="J20" s="30">
        <f>ROUND(F20*G20,2)</f>
        <v>0</v>
      </c>
      <c r="K20" s="30">
        <v>0.1296</v>
      </c>
      <c r="L20" s="30">
        <f>F20*K20</f>
        <v>7.46496</v>
      </c>
      <c r="N20" s="50" t="s">
        <v>281</v>
      </c>
      <c r="O20" s="30">
        <f>IF(N20="5",I20,0)</f>
        <v>0</v>
      </c>
      <c r="Z20" s="30">
        <f>IF(AD20=0,J20,0)</f>
        <v>0</v>
      </c>
      <c r="AA20" s="30">
        <f>IF(AD20=14,J20,0)</f>
        <v>0</v>
      </c>
      <c r="AB20" s="30">
        <f>IF(AD20=20,J20,0)</f>
        <v>0</v>
      </c>
      <c r="AD20" s="30">
        <v>20</v>
      </c>
      <c r="AE20" s="30">
        <f>G20*1</f>
        <v>0</v>
      </c>
      <c r="AF20" s="30">
        <f>G20*(1-1)</f>
        <v>0</v>
      </c>
    </row>
    <row r="21" spans="1:37" ht="12.75">
      <c r="A21" s="10"/>
      <c r="B21" s="10"/>
      <c r="C21" s="20" t="s">
        <v>67</v>
      </c>
      <c r="D21" s="25" t="s">
        <v>175</v>
      </c>
      <c r="E21" s="28"/>
      <c r="F21" s="28"/>
      <c r="G21" s="28"/>
      <c r="H21" s="52">
        <f>SUM(H22:H25)</f>
        <v>0</v>
      </c>
      <c r="I21" s="52">
        <f>SUM(I22:I25)</f>
        <v>0</v>
      </c>
      <c r="J21" s="52">
        <f>H21+I21</f>
        <v>0</v>
      </c>
      <c r="K21" s="44"/>
      <c r="L21" s="52">
        <f>SUM(L22:L25)</f>
        <v>0.9688878000000001</v>
      </c>
      <c r="P21" s="52">
        <f>IF(Q21="PR",J21,SUM(O22:O25))</f>
        <v>0</v>
      </c>
      <c r="Q21" s="44" t="s">
        <v>284</v>
      </c>
      <c r="R21" s="52">
        <f>IF(Q21="HS",H21,0)</f>
        <v>0</v>
      </c>
      <c r="S21" s="52">
        <f>IF(Q21="HS",I21-P21,0)</f>
        <v>0</v>
      </c>
      <c r="T21" s="52">
        <f>IF(Q21="PS",H21,0)</f>
        <v>0</v>
      </c>
      <c r="U21" s="52">
        <f>IF(Q21="PS",I21-P21,0)</f>
        <v>0</v>
      </c>
      <c r="V21" s="52">
        <f>IF(Q21="MP",H21,0)</f>
        <v>0</v>
      </c>
      <c r="W21" s="52">
        <f>IF(Q21="MP",I21-P21,0)</f>
        <v>0</v>
      </c>
      <c r="X21" s="52">
        <f>IF(Q21="OM",H21,0)</f>
        <v>0</v>
      </c>
      <c r="Y21" s="44"/>
      <c r="AI21" s="52">
        <f>SUM(Z22:Z25)</f>
        <v>0</v>
      </c>
      <c r="AJ21" s="52">
        <f>SUM(AA22:AA25)</f>
        <v>0</v>
      </c>
      <c r="AK21" s="52">
        <f>SUM(AB22:AB25)</f>
        <v>0</v>
      </c>
    </row>
    <row r="22" spans="1:32" ht="12.75">
      <c r="A22" s="9" t="s">
        <v>13</v>
      </c>
      <c r="B22" s="9"/>
      <c r="C22" s="9" t="s">
        <v>85</v>
      </c>
      <c r="D22" s="9" t="s">
        <v>176</v>
      </c>
      <c r="E22" s="9" t="s">
        <v>259</v>
      </c>
      <c r="F22" s="30">
        <v>23.5</v>
      </c>
      <c r="H22" s="30">
        <f>ROUND(F22*AE22,2)</f>
        <v>0</v>
      </c>
      <c r="I22" s="30">
        <f>J22-H22</f>
        <v>0</v>
      </c>
      <c r="J22" s="30">
        <f>ROUND(F22*G22,2)</f>
        <v>0</v>
      </c>
      <c r="K22" s="30">
        <v>0.01694</v>
      </c>
      <c r="L22" s="30">
        <f>F22*K22</f>
        <v>0.39809</v>
      </c>
      <c r="N22" s="50" t="s">
        <v>7</v>
      </c>
      <c r="O22" s="30">
        <f>IF(N22="5",I22,0)</f>
        <v>0</v>
      </c>
      <c r="Z22" s="30">
        <f>IF(AD22=0,J22,0)</f>
        <v>0</v>
      </c>
      <c r="AA22" s="30">
        <f>IF(AD22=14,J22,0)</f>
        <v>0</v>
      </c>
      <c r="AB22" s="30">
        <f>IF(AD22=20,J22,0)</f>
        <v>0</v>
      </c>
      <c r="AD22" s="30">
        <v>20</v>
      </c>
      <c r="AE22" s="30">
        <f>G22*0.200752097194099</f>
        <v>0</v>
      </c>
      <c r="AF22" s="30">
        <f>G22*(1-0.200752097194099)</f>
        <v>0</v>
      </c>
    </row>
    <row r="23" spans="1:32" ht="12.75">
      <c r="A23" s="9" t="s">
        <v>14</v>
      </c>
      <c r="B23" s="9"/>
      <c r="C23" s="9" t="s">
        <v>86</v>
      </c>
      <c r="D23" s="9" t="s">
        <v>177</v>
      </c>
      <c r="E23" s="9" t="s">
        <v>260</v>
      </c>
      <c r="F23" s="30">
        <v>28</v>
      </c>
      <c r="H23" s="30">
        <f>ROUND(F23*AE23,2)</f>
        <v>0</v>
      </c>
      <c r="I23" s="30">
        <f>J23-H23</f>
        <v>0</v>
      </c>
      <c r="J23" s="30">
        <f>ROUND(F23*G23,2)</f>
        <v>0</v>
      </c>
      <c r="K23" s="30">
        <v>0.00431</v>
      </c>
      <c r="L23" s="30">
        <f>F23*K23</f>
        <v>0.12067999999999998</v>
      </c>
      <c r="N23" s="50" t="s">
        <v>7</v>
      </c>
      <c r="O23" s="30">
        <f>IF(N23="5",I23,0)</f>
        <v>0</v>
      </c>
      <c r="Z23" s="30">
        <f>IF(AD23=0,J23,0)</f>
        <v>0</v>
      </c>
      <c r="AA23" s="30">
        <f>IF(AD23=14,J23,0)</f>
        <v>0</v>
      </c>
      <c r="AB23" s="30">
        <f>IF(AD23=20,J23,0)</f>
        <v>0</v>
      </c>
      <c r="AD23" s="30">
        <v>20</v>
      </c>
      <c r="AE23" s="30">
        <f>G23*0.0711232024873688</f>
        <v>0</v>
      </c>
      <c r="AF23" s="30">
        <f>G23*(1-0.0711232024873688)</f>
        <v>0</v>
      </c>
    </row>
    <row r="24" spans="1:32" ht="12.75">
      <c r="A24" s="9" t="s">
        <v>15</v>
      </c>
      <c r="B24" s="9"/>
      <c r="C24" s="9" t="s">
        <v>87</v>
      </c>
      <c r="D24" s="9" t="s">
        <v>178</v>
      </c>
      <c r="E24" s="9" t="s">
        <v>259</v>
      </c>
      <c r="F24" s="30">
        <v>10.91</v>
      </c>
      <c r="H24" s="30">
        <f>ROUND(F24*AE24,2)</f>
        <v>0</v>
      </c>
      <c r="I24" s="30">
        <f>J24-H24</f>
        <v>0</v>
      </c>
      <c r="J24" s="30">
        <f>ROUND(F24*G24,2)</f>
        <v>0</v>
      </c>
      <c r="K24" s="30">
        <v>0.00358</v>
      </c>
      <c r="L24" s="30">
        <f>F24*K24</f>
        <v>0.0390578</v>
      </c>
      <c r="N24" s="50" t="s">
        <v>7</v>
      </c>
      <c r="O24" s="30">
        <f>IF(N24="5",I24,0)</f>
        <v>0</v>
      </c>
      <c r="Z24" s="30">
        <f>IF(AD24=0,J24,0)</f>
        <v>0</v>
      </c>
      <c r="AA24" s="30">
        <f>IF(AD24=14,J24,0)</f>
        <v>0</v>
      </c>
      <c r="AB24" s="30">
        <f>IF(AD24=20,J24,0)</f>
        <v>0</v>
      </c>
      <c r="AD24" s="30">
        <v>20</v>
      </c>
      <c r="AE24" s="30">
        <f>G24*0.24211289737701</f>
        <v>0</v>
      </c>
      <c r="AF24" s="30">
        <f>G24*(1-0.24211289737701)</f>
        <v>0</v>
      </c>
    </row>
    <row r="25" spans="1:32" ht="12.75">
      <c r="A25" s="9" t="s">
        <v>16</v>
      </c>
      <c r="B25" s="9"/>
      <c r="C25" s="9" t="s">
        <v>88</v>
      </c>
      <c r="D25" s="9" t="s">
        <v>179</v>
      </c>
      <c r="E25" s="9" t="s">
        <v>259</v>
      </c>
      <c r="F25" s="30">
        <v>26</v>
      </c>
      <c r="H25" s="30">
        <f>ROUND(F25*AE25,2)</f>
        <v>0</v>
      </c>
      <c r="I25" s="30">
        <f>J25-H25</f>
        <v>0</v>
      </c>
      <c r="J25" s="30">
        <f>ROUND(F25*G25,2)</f>
        <v>0</v>
      </c>
      <c r="K25" s="30">
        <v>0.01581</v>
      </c>
      <c r="L25" s="30">
        <f>F25*K25</f>
        <v>0.41106000000000004</v>
      </c>
      <c r="N25" s="50" t="s">
        <v>7</v>
      </c>
      <c r="O25" s="30">
        <f>IF(N25="5",I25,0)</f>
        <v>0</v>
      </c>
      <c r="Z25" s="30">
        <f>IF(AD25=0,J25,0)</f>
        <v>0</v>
      </c>
      <c r="AA25" s="30">
        <f>IF(AD25=14,J25,0)</f>
        <v>0</v>
      </c>
      <c r="AB25" s="30">
        <f>IF(AD25=20,J25,0)</f>
        <v>0</v>
      </c>
      <c r="AD25" s="30">
        <v>20</v>
      </c>
      <c r="AE25" s="30">
        <f>G25*0.274157756707686</f>
        <v>0</v>
      </c>
      <c r="AF25" s="30">
        <f>G25*(1-0.274157756707686)</f>
        <v>0</v>
      </c>
    </row>
    <row r="26" spans="1:37" ht="12.75">
      <c r="A26" s="10"/>
      <c r="B26" s="10"/>
      <c r="C26" s="20" t="s">
        <v>69</v>
      </c>
      <c r="D26" s="25" t="s">
        <v>180</v>
      </c>
      <c r="E26" s="28"/>
      <c r="F26" s="28"/>
      <c r="G26" s="28"/>
      <c r="H26" s="52">
        <f>SUM(H27:H27)</f>
        <v>0</v>
      </c>
      <c r="I26" s="52">
        <f>SUM(I27:I27)</f>
        <v>0</v>
      </c>
      <c r="J26" s="52">
        <f>H26+I26</f>
        <v>0</v>
      </c>
      <c r="K26" s="44"/>
      <c r="L26" s="52">
        <f>SUM(L27:L27)</f>
        <v>1.3082025000000002</v>
      </c>
      <c r="P26" s="52">
        <f>IF(Q26="PR",J26,SUM(O27:O27))</f>
        <v>0</v>
      </c>
      <c r="Q26" s="44" t="s">
        <v>284</v>
      </c>
      <c r="R26" s="52">
        <f>IF(Q26="HS",H26,0)</f>
        <v>0</v>
      </c>
      <c r="S26" s="52">
        <f>IF(Q26="HS",I26-P26,0)</f>
        <v>0</v>
      </c>
      <c r="T26" s="52">
        <f>IF(Q26="PS",H26,0)</f>
        <v>0</v>
      </c>
      <c r="U26" s="52">
        <f>IF(Q26="PS",I26-P26,0)</f>
        <v>0</v>
      </c>
      <c r="V26" s="52">
        <f>IF(Q26="MP",H26,0)</f>
        <v>0</v>
      </c>
      <c r="W26" s="52">
        <f>IF(Q26="MP",I26-P26,0)</f>
        <v>0</v>
      </c>
      <c r="X26" s="52">
        <f>IF(Q26="OM",H26,0)</f>
        <v>0</v>
      </c>
      <c r="Y26" s="44"/>
      <c r="AI26" s="52">
        <f>SUM(Z27:Z27)</f>
        <v>0</v>
      </c>
      <c r="AJ26" s="52">
        <f>SUM(AA27:AA27)</f>
        <v>0</v>
      </c>
      <c r="AK26" s="52">
        <f>SUM(AB27:AB27)</f>
        <v>0</v>
      </c>
    </row>
    <row r="27" spans="1:32" ht="12.75">
      <c r="A27" s="9" t="s">
        <v>17</v>
      </c>
      <c r="B27" s="9"/>
      <c r="C27" s="9" t="s">
        <v>89</v>
      </c>
      <c r="D27" s="9" t="s">
        <v>181</v>
      </c>
      <c r="E27" s="9" t="s">
        <v>261</v>
      </c>
      <c r="F27" s="30">
        <v>0.55</v>
      </c>
      <c r="H27" s="30">
        <f>ROUND(F27*AE27,2)</f>
        <v>0</v>
      </c>
      <c r="I27" s="30">
        <f>J27-H27</f>
        <v>0</v>
      </c>
      <c r="J27" s="30">
        <f>ROUND(F27*G27,2)</f>
        <v>0</v>
      </c>
      <c r="K27" s="30">
        <v>2.37855</v>
      </c>
      <c r="L27" s="30">
        <f>F27*K27</f>
        <v>1.3082025000000002</v>
      </c>
      <c r="N27" s="50" t="s">
        <v>7</v>
      </c>
      <c r="O27" s="30">
        <f>IF(N27="5",I27,0)</f>
        <v>0</v>
      </c>
      <c r="Z27" s="30">
        <f>IF(AD27=0,J27,0)</f>
        <v>0</v>
      </c>
      <c r="AA27" s="30">
        <f>IF(AD27=14,J27,0)</f>
        <v>0</v>
      </c>
      <c r="AB27" s="30">
        <f>IF(AD27=20,J27,0)</f>
        <v>0</v>
      </c>
      <c r="AD27" s="30">
        <v>20</v>
      </c>
      <c r="AE27" s="30">
        <f>G27*0.740617689268091</f>
        <v>0</v>
      </c>
      <c r="AF27" s="30">
        <f>G27*(1-0.740617689268091)</f>
        <v>0</v>
      </c>
    </row>
    <row r="28" spans="1:37" ht="12.75">
      <c r="A28" s="10"/>
      <c r="B28" s="10"/>
      <c r="C28" s="20" t="s">
        <v>70</v>
      </c>
      <c r="D28" s="25" t="s">
        <v>182</v>
      </c>
      <c r="E28" s="28"/>
      <c r="F28" s="28"/>
      <c r="G28" s="28"/>
      <c r="H28" s="52">
        <f>SUM(H29:H35)</f>
        <v>0</v>
      </c>
      <c r="I28" s="52">
        <f>SUM(I29:I35)</f>
        <v>0</v>
      </c>
      <c r="J28" s="52">
        <f>H28+I28</f>
        <v>0</v>
      </c>
      <c r="K28" s="44"/>
      <c r="L28" s="52">
        <f>SUM(L29:L35)</f>
        <v>0.174404</v>
      </c>
      <c r="P28" s="52">
        <f>IF(Q28="PR",J28,SUM(O29:O35))</f>
        <v>0</v>
      </c>
      <c r="Q28" s="44" t="s">
        <v>284</v>
      </c>
      <c r="R28" s="52">
        <f>IF(Q28="HS",H28,0)</f>
        <v>0</v>
      </c>
      <c r="S28" s="52">
        <f>IF(Q28="HS",I28-P28,0)</f>
        <v>0</v>
      </c>
      <c r="T28" s="52">
        <f>IF(Q28="PS",H28,0)</f>
        <v>0</v>
      </c>
      <c r="U28" s="52">
        <f>IF(Q28="PS",I28-P28,0)</f>
        <v>0</v>
      </c>
      <c r="V28" s="52">
        <f>IF(Q28="MP",H28,0)</f>
        <v>0</v>
      </c>
      <c r="W28" s="52">
        <f>IF(Q28="MP",I28-P28,0)</f>
        <v>0</v>
      </c>
      <c r="X28" s="52">
        <f>IF(Q28="OM",H28,0)</f>
        <v>0</v>
      </c>
      <c r="Y28" s="44"/>
      <c r="AI28" s="52">
        <f>SUM(Z29:Z35)</f>
        <v>0</v>
      </c>
      <c r="AJ28" s="52">
        <f>SUM(AA29:AA35)</f>
        <v>0</v>
      </c>
      <c r="AK28" s="52">
        <f>SUM(AB29:AB35)</f>
        <v>0</v>
      </c>
    </row>
    <row r="29" spans="1:32" ht="12.75">
      <c r="A29" s="9" t="s">
        <v>18</v>
      </c>
      <c r="B29" s="9"/>
      <c r="C29" s="9" t="s">
        <v>90</v>
      </c>
      <c r="D29" s="9" t="s">
        <v>183</v>
      </c>
      <c r="E29" s="9" t="s">
        <v>262</v>
      </c>
      <c r="F29" s="30">
        <v>1</v>
      </c>
      <c r="H29" s="30">
        <f aca="true" t="shared" si="0" ref="H29:H35">ROUND(F29*AE29,2)</f>
        <v>0</v>
      </c>
      <c r="I29" s="30">
        <f aca="true" t="shared" si="1" ref="I29:I35">J29-H29</f>
        <v>0</v>
      </c>
      <c r="J29" s="30">
        <f aca="true" t="shared" si="2" ref="J29:J35">ROUND(F29*G29,2)</f>
        <v>0</v>
      </c>
      <c r="K29" s="30">
        <v>0.03105</v>
      </c>
      <c r="L29" s="30">
        <f aca="true" t="shared" si="3" ref="L29:L35">F29*K29</f>
        <v>0.03105</v>
      </c>
      <c r="N29" s="50" t="s">
        <v>7</v>
      </c>
      <c r="O29" s="30">
        <f aca="true" t="shared" si="4" ref="O29:O35">IF(N29="5",I29,0)</f>
        <v>0</v>
      </c>
      <c r="Z29" s="30">
        <f aca="true" t="shared" si="5" ref="Z29:Z35">IF(AD29=0,J29,0)</f>
        <v>0</v>
      </c>
      <c r="AA29" s="30">
        <f aca="true" t="shared" si="6" ref="AA29:AA35">IF(AD29=14,J29,0)</f>
        <v>0</v>
      </c>
      <c r="AB29" s="30">
        <f aca="true" t="shared" si="7" ref="AB29:AB35">IF(AD29=20,J29,0)</f>
        <v>0</v>
      </c>
      <c r="AD29" s="30">
        <v>20</v>
      </c>
      <c r="AE29" s="30">
        <f>G29*0.548423405315882</f>
        <v>0</v>
      </c>
      <c r="AF29" s="30">
        <f>G29*(1-0.548423405315882)</f>
        <v>0</v>
      </c>
    </row>
    <row r="30" spans="1:32" ht="12.75">
      <c r="A30" s="9" t="s">
        <v>19</v>
      </c>
      <c r="B30" s="9"/>
      <c r="C30" s="9" t="s">
        <v>91</v>
      </c>
      <c r="D30" s="9" t="s">
        <v>184</v>
      </c>
      <c r="E30" s="9" t="s">
        <v>260</v>
      </c>
      <c r="F30" s="30">
        <v>12</v>
      </c>
      <c r="H30" s="30">
        <f t="shared" si="0"/>
        <v>0</v>
      </c>
      <c r="I30" s="30">
        <f t="shared" si="1"/>
        <v>0</v>
      </c>
      <c r="J30" s="30">
        <f t="shared" si="2"/>
        <v>0</v>
      </c>
      <c r="K30" s="30">
        <v>5E-05</v>
      </c>
      <c r="L30" s="30">
        <f t="shared" si="3"/>
        <v>0.0006000000000000001</v>
      </c>
      <c r="N30" s="50" t="s">
        <v>7</v>
      </c>
      <c r="O30" s="30">
        <f t="shared" si="4"/>
        <v>0</v>
      </c>
      <c r="Z30" s="30">
        <f t="shared" si="5"/>
        <v>0</v>
      </c>
      <c r="AA30" s="30">
        <f t="shared" si="6"/>
        <v>0</v>
      </c>
      <c r="AB30" s="30">
        <f t="shared" si="7"/>
        <v>0</v>
      </c>
      <c r="AD30" s="30">
        <v>20</v>
      </c>
      <c r="AE30" s="30">
        <f>G30*0.0270556627691376</f>
        <v>0</v>
      </c>
      <c r="AF30" s="30">
        <f>G30*(1-0.0270556627691376)</f>
        <v>0</v>
      </c>
    </row>
    <row r="31" spans="1:32" ht="12.75">
      <c r="A31" s="9" t="s">
        <v>20</v>
      </c>
      <c r="B31" s="9"/>
      <c r="C31" s="9" t="s">
        <v>92</v>
      </c>
      <c r="D31" s="9" t="s">
        <v>185</v>
      </c>
      <c r="E31" s="9" t="s">
        <v>262</v>
      </c>
      <c r="F31" s="30">
        <v>2</v>
      </c>
      <c r="H31" s="30">
        <f t="shared" si="0"/>
        <v>0</v>
      </c>
      <c r="I31" s="30">
        <f t="shared" si="1"/>
        <v>0</v>
      </c>
      <c r="J31" s="30">
        <f t="shared" si="2"/>
        <v>0</v>
      </c>
      <c r="K31" s="30">
        <v>0.0181</v>
      </c>
      <c r="L31" s="30">
        <f t="shared" si="3"/>
        <v>0.0362</v>
      </c>
      <c r="N31" s="50" t="s">
        <v>281</v>
      </c>
      <c r="O31" s="30">
        <f t="shared" si="4"/>
        <v>0</v>
      </c>
      <c r="Z31" s="30">
        <f t="shared" si="5"/>
        <v>0</v>
      </c>
      <c r="AA31" s="30">
        <f t="shared" si="6"/>
        <v>0</v>
      </c>
      <c r="AB31" s="30">
        <f t="shared" si="7"/>
        <v>0</v>
      </c>
      <c r="AD31" s="30">
        <v>20</v>
      </c>
      <c r="AE31" s="30">
        <f>G31*1</f>
        <v>0</v>
      </c>
      <c r="AF31" s="30">
        <f>G31*(1-1)</f>
        <v>0</v>
      </c>
    </row>
    <row r="32" spans="1:32" ht="12.75">
      <c r="A32" s="9" t="s">
        <v>21</v>
      </c>
      <c r="B32" s="9"/>
      <c r="C32" s="9" t="s">
        <v>93</v>
      </c>
      <c r="D32" s="9" t="s">
        <v>186</v>
      </c>
      <c r="E32" s="9" t="s">
        <v>262</v>
      </c>
      <c r="F32" s="30">
        <v>1</v>
      </c>
      <c r="H32" s="30">
        <f t="shared" si="0"/>
        <v>0</v>
      </c>
      <c r="I32" s="30">
        <f t="shared" si="1"/>
        <v>0</v>
      </c>
      <c r="J32" s="30">
        <f t="shared" si="2"/>
        <v>0</v>
      </c>
      <c r="K32" s="30">
        <v>0.022</v>
      </c>
      <c r="L32" s="30">
        <f t="shared" si="3"/>
        <v>0.022</v>
      </c>
      <c r="N32" s="50" t="s">
        <v>281</v>
      </c>
      <c r="O32" s="30">
        <f t="shared" si="4"/>
        <v>0</v>
      </c>
      <c r="Z32" s="30">
        <f t="shared" si="5"/>
        <v>0</v>
      </c>
      <c r="AA32" s="30">
        <f t="shared" si="6"/>
        <v>0</v>
      </c>
      <c r="AB32" s="30">
        <f t="shared" si="7"/>
        <v>0</v>
      </c>
      <c r="AD32" s="30">
        <v>20</v>
      </c>
      <c r="AE32" s="30">
        <f>G32*1</f>
        <v>0</v>
      </c>
      <c r="AF32" s="30">
        <f>G32*(1-1)</f>
        <v>0</v>
      </c>
    </row>
    <row r="33" spans="1:32" ht="12.75">
      <c r="A33" s="9" t="s">
        <v>22</v>
      </c>
      <c r="B33" s="9"/>
      <c r="C33" s="9" t="s">
        <v>94</v>
      </c>
      <c r="D33" s="9" t="s">
        <v>187</v>
      </c>
      <c r="E33" s="9" t="s">
        <v>262</v>
      </c>
      <c r="F33" s="30">
        <v>1</v>
      </c>
      <c r="H33" s="30">
        <f t="shared" si="0"/>
        <v>0</v>
      </c>
      <c r="I33" s="30">
        <f t="shared" si="1"/>
        <v>0</v>
      </c>
      <c r="J33" s="30">
        <f t="shared" si="2"/>
        <v>0</v>
      </c>
      <c r="K33" s="30">
        <v>0.032</v>
      </c>
      <c r="L33" s="30">
        <f t="shared" si="3"/>
        <v>0.032</v>
      </c>
      <c r="N33" s="50" t="s">
        <v>281</v>
      </c>
      <c r="O33" s="30">
        <f t="shared" si="4"/>
        <v>0</v>
      </c>
      <c r="Z33" s="30">
        <f t="shared" si="5"/>
        <v>0</v>
      </c>
      <c r="AA33" s="30">
        <f t="shared" si="6"/>
        <v>0</v>
      </c>
      <c r="AB33" s="30">
        <f t="shared" si="7"/>
        <v>0</v>
      </c>
      <c r="AD33" s="30">
        <v>20</v>
      </c>
      <c r="AE33" s="30">
        <f>G33*1</f>
        <v>0</v>
      </c>
      <c r="AF33" s="30">
        <f>G33*(1-1)</f>
        <v>0</v>
      </c>
    </row>
    <row r="34" spans="1:32" ht="12.75">
      <c r="A34" s="9" t="s">
        <v>23</v>
      </c>
      <c r="B34" s="9"/>
      <c r="C34" s="9" t="s">
        <v>95</v>
      </c>
      <c r="D34" s="9" t="s">
        <v>188</v>
      </c>
      <c r="E34" s="9" t="s">
        <v>262</v>
      </c>
      <c r="F34" s="30">
        <v>1</v>
      </c>
      <c r="H34" s="30">
        <f t="shared" si="0"/>
        <v>0</v>
      </c>
      <c r="I34" s="30">
        <f t="shared" si="1"/>
        <v>0</v>
      </c>
      <c r="J34" s="30">
        <f t="shared" si="2"/>
        <v>0</v>
      </c>
      <c r="K34" s="30">
        <v>0.03</v>
      </c>
      <c r="L34" s="30">
        <f t="shared" si="3"/>
        <v>0.03</v>
      </c>
      <c r="N34" s="50" t="s">
        <v>281</v>
      </c>
      <c r="O34" s="30">
        <f t="shared" si="4"/>
        <v>0</v>
      </c>
      <c r="Z34" s="30">
        <f t="shared" si="5"/>
        <v>0</v>
      </c>
      <c r="AA34" s="30">
        <f t="shared" si="6"/>
        <v>0</v>
      </c>
      <c r="AB34" s="30">
        <f t="shared" si="7"/>
        <v>0</v>
      </c>
      <c r="AD34" s="30">
        <v>20</v>
      </c>
      <c r="AE34" s="30">
        <f>G34*1</f>
        <v>0</v>
      </c>
      <c r="AF34" s="30">
        <f>G34*(1-1)</f>
        <v>0</v>
      </c>
    </row>
    <row r="35" spans="1:32" ht="12.75">
      <c r="A35" s="9" t="s">
        <v>24</v>
      </c>
      <c r="B35" s="9"/>
      <c r="C35" s="9" t="s">
        <v>96</v>
      </c>
      <c r="D35" s="9" t="s">
        <v>189</v>
      </c>
      <c r="E35" s="9" t="s">
        <v>260</v>
      </c>
      <c r="F35" s="30">
        <v>1.8</v>
      </c>
      <c r="H35" s="30">
        <f t="shared" si="0"/>
        <v>0</v>
      </c>
      <c r="I35" s="30">
        <f t="shared" si="1"/>
        <v>0</v>
      </c>
      <c r="J35" s="30">
        <f t="shared" si="2"/>
        <v>0</v>
      </c>
      <c r="K35" s="30">
        <v>0.01253</v>
      </c>
      <c r="L35" s="30">
        <f t="shared" si="3"/>
        <v>0.022554</v>
      </c>
      <c r="N35" s="50" t="s">
        <v>7</v>
      </c>
      <c r="O35" s="30">
        <f t="shared" si="4"/>
        <v>0</v>
      </c>
      <c r="Z35" s="30">
        <f t="shared" si="5"/>
        <v>0</v>
      </c>
      <c r="AA35" s="30">
        <f t="shared" si="6"/>
        <v>0</v>
      </c>
      <c r="AB35" s="30">
        <f t="shared" si="7"/>
        <v>0</v>
      </c>
      <c r="AD35" s="30">
        <v>20</v>
      </c>
      <c r="AE35" s="30">
        <f>G35*0.663620371562192</f>
        <v>0</v>
      </c>
      <c r="AF35" s="30">
        <f>G35*(1-0.663620371562192)</f>
        <v>0</v>
      </c>
    </row>
    <row r="36" spans="1:37" ht="12.75">
      <c r="A36" s="10"/>
      <c r="B36" s="10"/>
      <c r="C36" s="20" t="s">
        <v>97</v>
      </c>
      <c r="D36" s="25" t="s">
        <v>190</v>
      </c>
      <c r="E36" s="28"/>
      <c r="F36" s="28"/>
      <c r="G36" s="28"/>
      <c r="H36" s="52">
        <f>SUM(H37:H42)</f>
        <v>0</v>
      </c>
      <c r="I36" s="52">
        <f>SUM(I37:I42)</f>
        <v>0</v>
      </c>
      <c r="J36" s="52">
        <f>H36+I36</f>
        <v>0</v>
      </c>
      <c r="K36" s="44"/>
      <c r="L36" s="52">
        <f>SUM(L37:L42)</f>
        <v>0.007384999999999999</v>
      </c>
      <c r="P36" s="52">
        <f>IF(Q36="PR",J36,SUM(O37:O42))</f>
        <v>0</v>
      </c>
      <c r="Q36" s="44" t="s">
        <v>285</v>
      </c>
      <c r="R36" s="52">
        <f>IF(Q36="HS",H36,0)</f>
        <v>0</v>
      </c>
      <c r="S36" s="52">
        <f>IF(Q36="HS",I36-P36,0)</f>
        <v>0</v>
      </c>
      <c r="T36" s="52">
        <f>IF(Q36="PS",H36,0)</f>
        <v>0</v>
      </c>
      <c r="U36" s="52">
        <f>IF(Q36="PS",I36-P36,0)</f>
        <v>0</v>
      </c>
      <c r="V36" s="52">
        <f>IF(Q36="MP",H36,0)</f>
        <v>0</v>
      </c>
      <c r="W36" s="52">
        <f>IF(Q36="MP",I36-P36,0)</f>
        <v>0</v>
      </c>
      <c r="X36" s="52">
        <f>IF(Q36="OM",H36,0)</f>
        <v>0</v>
      </c>
      <c r="Y36" s="44"/>
      <c r="AI36" s="52">
        <f>SUM(Z37:Z42)</f>
        <v>0</v>
      </c>
      <c r="AJ36" s="52">
        <f>SUM(AA37:AA42)</f>
        <v>0</v>
      </c>
      <c r="AK36" s="52">
        <f>SUM(AB37:AB42)</f>
        <v>0</v>
      </c>
    </row>
    <row r="37" spans="1:32" ht="12.75">
      <c r="A37" s="9" t="s">
        <v>25</v>
      </c>
      <c r="B37" s="9"/>
      <c r="C37" s="9" t="s">
        <v>98</v>
      </c>
      <c r="D37" s="9" t="s">
        <v>191</v>
      </c>
      <c r="E37" s="9" t="s">
        <v>260</v>
      </c>
      <c r="F37" s="30">
        <v>3</v>
      </c>
      <c r="H37" s="30">
        <f aca="true" t="shared" si="8" ref="H37:H42">ROUND(F37*AE37,2)</f>
        <v>0</v>
      </c>
      <c r="I37" s="30">
        <f aca="true" t="shared" si="9" ref="I37:I42">J37-H37</f>
        <v>0</v>
      </c>
      <c r="J37" s="30">
        <f aca="true" t="shared" si="10" ref="J37:J42">ROUND(F37*G37,2)</f>
        <v>0</v>
      </c>
      <c r="K37" s="30">
        <v>0.00144</v>
      </c>
      <c r="L37" s="30">
        <f aca="true" t="shared" si="11" ref="L37:L42">F37*K37</f>
        <v>0.00432</v>
      </c>
      <c r="N37" s="50" t="s">
        <v>7</v>
      </c>
      <c r="O37" s="30">
        <f aca="true" t="shared" si="12" ref="O37:O42">IF(N37="5",I37,0)</f>
        <v>0</v>
      </c>
      <c r="Z37" s="30">
        <f aca="true" t="shared" si="13" ref="Z37:Z42">IF(AD37=0,J37,0)</f>
        <v>0</v>
      </c>
      <c r="AA37" s="30">
        <f aca="true" t="shared" si="14" ref="AA37:AA42">IF(AD37=14,J37,0)</f>
        <v>0</v>
      </c>
      <c r="AB37" s="30">
        <f aca="true" t="shared" si="15" ref="AB37:AB42">IF(AD37=20,J37,0)</f>
        <v>0</v>
      </c>
      <c r="AD37" s="30">
        <v>20</v>
      </c>
      <c r="AE37" s="30">
        <f>G37*0.350617656678491</f>
        <v>0</v>
      </c>
      <c r="AF37" s="30">
        <f>G37*(1-0.350617656678491)</f>
        <v>0</v>
      </c>
    </row>
    <row r="38" spans="1:32" ht="12.75">
      <c r="A38" s="9" t="s">
        <v>26</v>
      </c>
      <c r="B38" s="9"/>
      <c r="C38" s="9" t="s">
        <v>99</v>
      </c>
      <c r="D38" s="9" t="s">
        <v>192</v>
      </c>
      <c r="E38" s="9" t="s">
        <v>260</v>
      </c>
      <c r="F38" s="30">
        <v>1.5</v>
      </c>
      <c r="H38" s="30">
        <f t="shared" si="8"/>
        <v>0</v>
      </c>
      <c r="I38" s="30">
        <f t="shared" si="9"/>
        <v>0</v>
      </c>
      <c r="J38" s="30">
        <f t="shared" si="10"/>
        <v>0</v>
      </c>
      <c r="K38" s="30">
        <v>0.00047</v>
      </c>
      <c r="L38" s="30">
        <f t="shared" si="11"/>
        <v>0.000705</v>
      </c>
      <c r="N38" s="50" t="s">
        <v>7</v>
      </c>
      <c r="O38" s="30">
        <f t="shared" si="12"/>
        <v>0</v>
      </c>
      <c r="Z38" s="30">
        <f t="shared" si="13"/>
        <v>0</v>
      </c>
      <c r="AA38" s="30">
        <f t="shared" si="14"/>
        <v>0</v>
      </c>
      <c r="AB38" s="30">
        <f t="shared" si="15"/>
        <v>0</v>
      </c>
      <c r="AD38" s="30">
        <v>20</v>
      </c>
      <c r="AE38" s="30">
        <f>G38*0.296653913888383</f>
        <v>0</v>
      </c>
      <c r="AF38" s="30">
        <f>G38*(1-0.296653913888383)</f>
        <v>0</v>
      </c>
    </row>
    <row r="39" spans="1:32" ht="12.75">
      <c r="A39" s="9" t="s">
        <v>27</v>
      </c>
      <c r="B39" s="9"/>
      <c r="C39" s="9" t="s">
        <v>100</v>
      </c>
      <c r="D39" s="9" t="s">
        <v>193</v>
      </c>
      <c r="E39" s="9" t="s">
        <v>260</v>
      </c>
      <c r="F39" s="30">
        <v>3</v>
      </c>
      <c r="H39" s="30">
        <f t="shared" si="8"/>
        <v>0</v>
      </c>
      <c r="I39" s="30">
        <f t="shared" si="9"/>
        <v>0</v>
      </c>
      <c r="J39" s="30">
        <f t="shared" si="10"/>
        <v>0</v>
      </c>
      <c r="K39" s="30">
        <v>0.0007</v>
      </c>
      <c r="L39" s="30">
        <f t="shared" si="11"/>
        <v>0.0021</v>
      </c>
      <c r="N39" s="50" t="s">
        <v>7</v>
      </c>
      <c r="O39" s="30">
        <f t="shared" si="12"/>
        <v>0</v>
      </c>
      <c r="Z39" s="30">
        <f t="shared" si="13"/>
        <v>0</v>
      </c>
      <c r="AA39" s="30">
        <f t="shared" si="14"/>
        <v>0</v>
      </c>
      <c r="AB39" s="30">
        <f t="shared" si="15"/>
        <v>0</v>
      </c>
      <c r="AD39" s="30">
        <v>20</v>
      </c>
      <c r="AE39" s="30">
        <f>G39*0.474173553719008</f>
        <v>0</v>
      </c>
      <c r="AF39" s="30">
        <f>G39*(1-0.474173553719008)</f>
        <v>0</v>
      </c>
    </row>
    <row r="40" spans="1:32" ht="12.75">
      <c r="A40" s="9" t="s">
        <v>28</v>
      </c>
      <c r="B40" s="9"/>
      <c r="C40" s="9" t="s">
        <v>101</v>
      </c>
      <c r="D40" s="9" t="s">
        <v>194</v>
      </c>
      <c r="E40" s="9" t="s">
        <v>262</v>
      </c>
      <c r="F40" s="30">
        <v>1</v>
      </c>
      <c r="H40" s="30">
        <f t="shared" si="8"/>
        <v>0</v>
      </c>
      <c r="I40" s="30">
        <f t="shared" si="9"/>
        <v>0</v>
      </c>
      <c r="J40" s="30">
        <f t="shared" si="10"/>
        <v>0</v>
      </c>
      <c r="K40" s="30">
        <v>0</v>
      </c>
      <c r="L40" s="30">
        <f t="shared" si="11"/>
        <v>0</v>
      </c>
      <c r="N40" s="50" t="s">
        <v>7</v>
      </c>
      <c r="O40" s="30">
        <f t="shared" si="12"/>
        <v>0</v>
      </c>
      <c r="Z40" s="30">
        <f t="shared" si="13"/>
        <v>0</v>
      </c>
      <c r="AA40" s="30">
        <f t="shared" si="14"/>
        <v>0</v>
      </c>
      <c r="AB40" s="30">
        <f t="shared" si="15"/>
        <v>0</v>
      </c>
      <c r="AD40" s="30">
        <v>20</v>
      </c>
      <c r="AE40" s="30">
        <f>G40*0</f>
        <v>0</v>
      </c>
      <c r="AF40" s="30">
        <f>G40*(1-0)</f>
        <v>0</v>
      </c>
    </row>
    <row r="41" spans="1:32" ht="12.75">
      <c r="A41" s="9" t="s">
        <v>29</v>
      </c>
      <c r="B41" s="9"/>
      <c r="C41" s="9" t="s">
        <v>102</v>
      </c>
      <c r="D41" s="9" t="s">
        <v>195</v>
      </c>
      <c r="E41" s="9" t="s">
        <v>262</v>
      </c>
      <c r="F41" s="30">
        <v>2</v>
      </c>
      <c r="H41" s="30">
        <f t="shared" si="8"/>
        <v>0</v>
      </c>
      <c r="I41" s="30">
        <f t="shared" si="9"/>
        <v>0</v>
      </c>
      <c r="J41" s="30">
        <f t="shared" si="10"/>
        <v>0</v>
      </c>
      <c r="K41" s="30">
        <v>0.00013</v>
      </c>
      <c r="L41" s="30">
        <f t="shared" si="11"/>
        <v>0.00026</v>
      </c>
      <c r="N41" s="50" t="s">
        <v>7</v>
      </c>
      <c r="O41" s="30">
        <f t="shared" si="12"/>
        <v>0</v>
      </c>
      <c r="Z41" s="30">
        <f t="shared" si="13"/>
        <v>0</v>
      </c>
      <c r="AA41" s="30">
        <f t="shared" si="14"/>
        <v>0</v>
      </c>
      <c r="AB41" s="30">
        <f t="shared" si="15"/>
        <v>0</v>
      </c>
      <c r="AD41" s="30">
        <v>20</v>
      </c>
      <c r="AE41" s="30">
        <f>G41*0.85671365842385</f>
        <v>0</v>
      </c>
      <c r="AF41" s="30">
        <f>G41*(1-0.85671365842385)</f>
        <v>0</v>
      </c>
    </row>
    <row r="42" spans="1:32" ht="12.75">
      <c r="A42" s="9" t="s">
        <v>30</v>
      </c>
      <c r="B42" s="9"/>
      <c r="C42" s="9" t="s">
        <v>103</v>
      </c>
      <c r="D42" s="9" t="s">
        <v>196</v>
      </c>
      <c r="E42" s="9" t="s">
        <v>262</v>
      </c>
      <c r="F42" s="30">
        <v>1</v>
      </c>
      <c r="H42" s="30">
        <f t="shared" si="8"/>
        <v>0</v>
      </c>
      <c r="I42" s="30">
        <f t="shared" si="9"/>
        <v>0</v>
      </c>
      <c r="J42" s="30">
        <f t="shared" si="10"/>
        <v>0</v>
      </c>
      <c r="K42" s="30">
        <v>0</v>
      </c>
      <c r="L42" s="30">
        <f t="shared" si="11"/>
        <v>0</v>
      </c>
      <c r="N42" s="50" t="s">
        <v>7</v>
      </c>
      <c r="O42" s="30">
        <f t="shared" si="12"/>
        <v>0</v>
      </c>
      <c r="Z42" s="30">
        <f t="shared" si="13"/>
        <v>0</v>
      </c>
      <c r="AA42" s="30">
        <f t="shared" si="14"/>
        <v>0</v>
      </c>
      <c r="AB42" s="30">
        <f t="shared" si="15"/>
        <v>0</v>
      </c>
      <c r="AD42" s="30">
        <v>20</v>
      </c>
      <c r="AE42" s="30">
        <f>G42*0</f>
        <v>0</v>
      </c>
      <c r="AF42" s="30">
        <f>G42*(1-0)</f>
        <v>0</v>
      </c>
    </row>
    <row r="43" spans="1:37" ht="12.75">
      <c r="A43" s="10"/>
      <c r="B43" s="10"/>
      <c r="C43" s="20" t="s">
        <v>104</v>
      </c>
      <c r="D43" s="25" t="s">
        <v>197</v>
      </c>
      <c r="E43" s="28"/>
      <c r="F43" s="28"/>
      <c r="G43" s="28"/>
      <c r="H43" s="52">
        <f>SUM(H44:H47)</f>
        <v>0</v>
      </c>
      <c r="I43" s="52">
        <f>SUM(I44:I47)</f>
        <v>0</v>
      </c>
      <c r="J43" s="52">
        <f>H43+I43</f>
        <v>0</v>
      </c>
      <c r="K43" s="44"/>
      <c r="L43" s="52">
        <f>SUM(L44:L47)</f>
        <v>0.038135</v>
      </c>
      <c r="P43" s="52">
        <f>IF(Q43="PR",J43,SUM(O44:O47))</f>
        <v>0</v>
      </c>
      <c r="Q43" s="44" t="s">
        <v>285</v>
      </c>
      <c r="R43" s="52">
        <f>IF(Q43="HS",H43,0)</f>
        <v>0</v>
      </c>
      <c r="S43" s="52">
        <f>IF(Q43="HS",I43-P43,0)</f>
        <v>0</v>
      </c>
      <c r="T43" s="52">
        <f>IF(Q43="PS",H43,0)</f>
        <v>0</v>
      </c>
      <c r="U43" s="52">
        <f>IF(Q43="PS",I43-P43,0)</f>
        <v>0</v>
      </c>
      <c r="V43" s="52">
        <f>IF(Q43="MP",H43,0)</f>
        <v>0</v>
      </c>
      <c r="W43" s="52">
        <f>IF(Q43="MP",I43-P43,0)</f>
        <v>0</v>
      </c>
      <c r="X43" s="52">
        <f>IF(Q43="OM",H43,0)</f>
        <v>0</v>
      </c>
      <c r="Y43" s="44"/>
      <c r="AI43" s="52">
        <f>SUM(Z44:Z47)</f>
        <v>0</v>
      </c>
      <c r="AJ43" s="52">
        <f>SUM(AA44:AA47)</f>
        <v>0</v>
      </c>
      <c r="AK43" s="52">
        <f>SUM(AB44:AB47)</f>
        <v>0</v>
      </c>
    </row>
    <row r="44" spans="1:32" ht="12.75">
      <c r="A44" s="9" t="s">
        <v>31</v>
      </c>
      <c r="B44" s="9"/>
      <c r="C44" s="9" t="s">
        <v>105</v>
      </c>
      <c r="D44" s="9" t="s">
        <v>198</v>
      </c>
      <c r="E44" s="9" t="s">
        <v>260</v>
      </c>
      <c r="F44" s="30">
        <v>5</v>
      </c>
      <c r="H44" s="30">
        <f>ROUND(F44*AE44,2)</f>
        <v>0</v>
      </c>
      <c r="I44" s="30">
        <f>J44-H44</f>
        <v>0</v>
      </c>
      <c r="J44" s="30">
        <f>ROUND(F44*G44,2)</f>
        <v>0</v>
      </c>
      <c r="K44" s="30">
        <v>0.00398</v>
      </c>
      <c r="L44" s="30">
        <f>F44*K44</f>
        <v>0.0199</v>
      </c>
      <c r="N44" s="50" t="s">
        <v>7</v>
      </c>
      <c r="O44" s="30">
        <f>IF(N44="5",I44,0)</f>
        <v>0</v>
      </c>
      <c r="Z44" s="30">
        <f>IF(AD44=0,J44,0)</f>
        <v>0</v>
      </c>
      <c r="AA44" s="30">
        <f>IF(AD44=14,J44,0)</f>
        <v>0</v>
      </c>
      <c r="AB44" s="30">
        <f>IF(AD44=20,J44,0)</f>
        <v>0</v>
      </c>
      <c r="AD44" s="30">
        <v>20</v>
      </c>
      <c r="AE44" s="30">
        <f>G44*0.224688121497017</f>
        <v>0</v>
      </c>
      <c r="AF44" s="30">
        <f>G44*(1-0.224688121497017)</f>
        <v>0</v>
      </c>
    </row>
    <row r="45" spans="1:32" ht="12.75">
      <c r="A45" s="9" t="s">
        <v>32</v>
      </c>
      <c r="B45" s="9"/>
      <c r="C45" s="9" t="s">
        <v>106</v>
      </c>
      <c r="D45" s="9" t="s">
        <v>199</v>
      </c>
      <c r="E45" s="9" t="s">
        <v>260</v>
      </c>
      <c r="F45" s="30">
        <v>4.5</v>
      </c>
      <c r="H45" s="30">
        <f>ROUND(F45*AE45,2)</f>
        <v>0</v>
      </c>
      <c r="I45" s="30">
        <f>J45-H45</f>
        <v>0</v>
      </c>
      <c r="J45" s="30">
        <f>ROUND(F45*G45,2)</f>
        <v>0</v>
      </c>
      <c r="K45" s="30">
        <v>0.00401</v>
      </c>
      <c r="L45" s="30">
        <f>F45*K45</f>
        <v>0.018045</v>
      </c>
      <c r="N45" s="50" t="s">
        <v>7</v>
      </c>
      <c r="O45" s="30">
        <f>IF(N45="5",I45,0)</f>
        <v>0</v>
      </c>
      <c r="Z45" s="30">
        <f>IF(AD45=0,J45,0)</f>
        <v>0</v>
      </c>
      <c r="AA45" s="30">
        <f>IF(AD45=14,J45,0)</f>
        <v>0</v>
      </c>
      <c r="AB45" s="30">
        <f>IF(AD45=20,J45,0)</f>
        <v>0</v>
      </c>
      <c r="AD45" s="30">
        <v>20</v>
      </c>
      <c r="AE45" s="30">
        <f>G45*0.250698934125459</f>
        <v>0</v>
      </c>
      <c r="AF45" s="30">
        <f>G45*(1-0.250698934125459)</f>
        <v>0</v>
      </c>
    </row>
    <row r="46" spans="1:32" ht="12.75">
      <c r="A46" s="9" t="s">
        <v>33</v>
      </c>
      <c r="B46" s="9"/>
      <c r="C46" s="9" t="s">
        <v>107</v>
      </c>
      <c r="D46" s="9" t="s">
        <v>200</v>
      </c>
      <c r="E46" s="9" t="s">
        <v>262</v>
      </c>
      <c r="F46" s="30">
        <v>10</v>
      </c>
      <c r="H46" s="30">
        <f>ROUND(F46*AE46,2)</f>
        <v>0</v>
      </c>
      <c r="I46" s="30">
        <f>J46-H46</f>
        <v>0</v>
      </c>
      <c r="J46" s="30">
        <f>ROUND(F46*G46,2)</f>
        <v>0</v>
      </c>
      <c r="K46" s="30">
        <v>0</v>
      </c>
      <c r="L46" s="30">
        <f>F46*K46</f>
        <v>0</v>
      </c>
      <c r="N46" s="50" t="s">
        <v>7</v>
      </c>
      <c r="O46" s="30">
        <f>IF(N46="5",I46,0)</f>
        <v>0</v>
      </c>
      <c r="Z46" s="30">
        <f>IF(AD46=0,J46,0)</f>
        <v>0</v>
      </c>
      <c r="AA46" s="30">
        <f>IF(AD46=14,J46,0)</f>
        <v>0</v>
      </c>
      <c r="AB46" s="30">
        <f>IF(AD46=20,J46,0)</f>
        <v>0</v>
      </c>
      <c r="AD46" s="30">
        <v>20</v>
      </c>
      <c r="AE46" s="30">
        <f>G46*0</f>
        <v>0</v>
      </c>
      <c r="AF46" s="30">
        <f>G46*(1-0)</f>
        <v>0</v>
      </c>
    </row>
    <row r="47" spans="1:32" ht="12.75">
      <c r="A47" s="9" t="s">
        <v>34</v>
      </c>
      <c r="B47" s="9"/>
      <c r="C47" s="9" t="s">
        <v>108</v>
      </c>
      <c r="D47" s="9" t="s">
        <v>201</v>
      </c>
      <c r="E47" s="9" t="s">
        <v>260</v>
      </c>
      <c r="F47" s="30">
        <v>9.5</v>
      </c>
      <c r="H47" s="30">
        <f>ROUND(F47*AE47,2)</f>
        <v>0</v>
      </c>
      <c r="I47" s="30">
        <f>J47-H47</f>
        <v>0</v>
      </c>
      <c r="J47" s="30">
        <f>ROUND(F47*G47,2)</f>
        <v>0</v>
      </c>
      <c r="K47" s="30">
        <v>2E-05</v>
      </c>
      <c r="L47" s="30">
        <f>F47*K47</f>
        <v>0.00019</v>
      </c>
      <c r="N47" s="50" t="s">
        <v>7</v>
      </c>
      <c r="O47" s="30">
        <f>IF(N47="5",I47,0)</f>
        <v>0</v>
      </c>
      <c r="Z47" s="30">
        <f>IF(AD47=0,J47,0)</f>
        <v>0</v>
      </c>
      <c r="AA47" s="30">
        <f>IF(AD47=14,J47,0)</f>
        <v>0</v>
      </c>
      <c r="AB47" s="30">
        <f>IF(AD47=20,J47,0)</f>
        <v>0</v>
      </c>
      <c r="AD47" s="30">
        <v>20</v>
      </c>
      <c r="AE47" s="30">
        <f>G47*0.424367185117414</f>
        <v>0</v>
      </c>
      <c r="AF47" s="30">
        <f>G47*(1-0.424367185117414)</f>
        <v>0</v>
      </c>
    </row>
    <row r="48" spans="1:37" ht="12.75">
      <c r="A48" s="10"/>
      <c r="B48" s="10"/>
      <c r="C48" s="20" t="s">
        <v>109</v>
      </c>
      <c r="D48" s="25" t="s">
        <v>202</v>
      </c>
      <c r="E48" s="28"/>
      <c r="F48" s="28"/>
      <c r="G48" s="28"/>
      <c r="H48" s="52">
        <f>SUM(H49:H64)</f>
        <v>0</v>
      </c>
      <c r="I48" s="52">
        <f>SUM(I49:I64)</f>
        <v>0</v>
      </c>
      <c r="J48" s="52">
        <f>H48+I48</f>
        <v>0</v>
      </c>
      <c r="K48" s="44"/>
      <c r="L48" s="52">
        <f>SUM(L49:L64)</f>
        <v>0.21286000000000005</v>
      </c>
      <c r="P48" s="52">
        <f>IF(Q48="PR",J48,SUM(O49:O64))</f>
        <v>0</v>
      </c>
      <c r="Q48" s="44" t="s">
        <v>285</v>
      </c>
      <c r="R48" s="52">
        <f>IF(Q48="HS",H48,0)</f>
        <v>0</v>
      </c>
      <c r="S48" s="52">
        <f>IF(Q48="HS",I48-P48,0)</f>
        <v>0</v>
      </c>
      <c r="T48" s="52">
        <f>IF(Q48="PS",H48,0)</f>
        <v>0</v>
      </c>
      <c r="U48" s="52">
        <f>IF(Q48="PS",I48-P48,0)</f>
        <v>0</v>
      </c>
      <c r="V48" s="52">
        <f>IF(Q48="MP",H48,0)</f>
        <v>0</v>
      </c>
      <c r="W48" s="52">
        <f>IF(Q48="MP",I48-P48,0)</f>
        <v>0</v>
      </c>
      <c r="X48" s="52">
        <f>IF(Q48="OM",H48,0)</f>
        <v>0</v>
      </c>
      <c r="Y48" s="44"/>
      <c r="AI48" s="52">
        <f>SUM(Z49:Z64)</f>
        <v>0</v>
      </c>
      <c r="AJ48" s="52">
        <f>SUM(AA49:AA64)</f>
        <v>0</v>
      </c>
      <c r="AK48" s="52">
        <f>SUM(AB49:AB64)</f>
        <v>0</v>
      </c>
    </row>
    <row r="49" spans="1:32" ht="12.75">
      <c r="A49" s="9" t="s">
        <v>35</v>
      </c>
      <c r="B49" s="9"/>
      <c r="C49" s="9" t="s">
        <v>110</v>
      </c>
      <c r="D49" s="9" t="s">
        <v>203</v>
      </c>
      <c r="E49" s="9" t="s">
        <v>263</v>
      </c>
      <c r="F49" s="30">
        <v>1</v>
      </c>
      <c r="H49" s="30">
        <f aca="true" t="shared" si="16" ref="H49:H64">ROUND(F49*AE49,2)</f>
        <v>0</v>
      </c>
      <c r="I49" s="30">
        <f aca="true" t="shared" si="17" ref="I49:I64">J49-H49</f>
        <v>0</v>
      </c>
      <c r="J49" s="30">
        <f aca="true" t="shared" si="18" ref="J49:J64">ROUND(F49*G49,2)</f>
        <v>0</v>
      </c>
      <c r="K49" s="30">
        <v>0.01933</v>
      </c>
      <c r="L49" s="30">
        <f aca="true" t="shared" si="19" ref="L49:L64">F49*K49</f>
        <v>0.01933</v>
      </c>
      <c r="N49" s="50" t="s">
        <v>7</v>
      </c>
      <c r="O49" s="30">
        <f aca="true" t="shared" si="20" ref="O49:O64">IF(N49="5",I49,0)</f>
        <v>0</v>
      </c>
      <c r="Z49" s="30">
        <f aca="true" t="shared" si="21" ref="Z49:Z64">IF(AD49=0,J49,0)</f>
        <v>0</v>
      </c>
      <c r="AA49" s="30">
        <f aca="true" t="shared" si="22" ref="AA49:AA64">IF(AD49=14,J49,0)</f>
        <v>0</v>
      </c>
      <c r="AB49" s="30">
        <f aca="true" t="shared" si="23" ref="AB49:AB64">IF(AD49=20,J49,0)</f>
        <v>0</v>
      </c>
      <c r="AD49" s="30">
        <v>20</v>
      </c>
      <c r="AE49" s="30">
        <f>G49*0</f>
        <v>0</v>
      </c>
      <c r="AF49" s="30">
        <f>G49*(1-0)</f>
        <v>0</v>
      </c>
    </row>
    <row r="50" spans="1:32" ht="12.75">
      <c r="A50" s="9" t="s">
        <v>36</v>
      </c>
      <c r="B50" s="9"/>
      <c r="C50" s="9" t="s">
        <v>111</v>
      </c>
      <c r="D50" s="9" t="s">
        <v>204</v>
      </c>
      <c r="E50" s="9" t="s">
        <v>263</v>
      </c>
      <c r="F50" s="30">
        <v>1</v>
      </c>
      <c r="H50" s="30">
        <f t="shared" si="16"/>
        <v>0</v>
      </c>
      <c r="I50" s="30">
        <f t="shared" si="17"/>
        <v>0</v>
      </c>
      <c r="J50" s="30">
        <f t="shared" si="18"/>
        <v>0</v>
      </c>
      <c r="K50" s="30">
        <v>0.01946</v>
      </c>
      <c r="L50" s="30">
        <f t="shared" si="19"/>
        <v>0.01946</v>
      </c>
      <c r="N50" s="50" t="s">
        <v>7</v>
      </c>
      <c r="O50" s="30">
        <f t="shared" si="20"/>
        <v>0</v>
      </c>
      <c r="Z50" s="30">
        <f t="shared" si="21"/>
        <v>0</v>
      </c>
      <c r="AA50" s="30">
        <f t="shared" si="22"/>
        <v>0</v>
      </c>
      <c r="AB50" s="30">
        <f t="shared" si="23"/>
        <v>0</v>
      </c>
      <c r="AD50" s="30">
        <v>20</v>
      </c>
      <c r="AE50" s="30">
        <f>G50*0</f>
        <v>0</v>
      </c>
      <c r="AF50" s="30">
        <f>G50*(1-0)</f>
        <v>0</v>
      </c>
    </row>
    <row r="51" spans="1:32" ht="12.75">
      <c r="A51" s="9" t="s">
        <v>37</v>
      </c>
      <c r="B51" s="9"/>
      <c r="C51" s="9" t="s">
        <v>112</v>
      </c>
      <c r="D51" s="9" t="s">
        <v>205</v>
      </c>
      <c r="E51" s="9" t="s">
        <v>263</v>
      </c>
      <c r="F51" s="30">
        <v>1</v>
      </c>
      <c r="H51" s="30">
        <f t="shared" si="16"/>
        <v>0</v>
      </c>
      <c r="I51" s="30">
        <f t="shared" si="17"/>
        <v>0</v>
      </c>
      <c r="J51" s="30">
        <f t="shared" si="18"/>
        <v>0</v>
      </c>
      <c r="K51" s="30">
        <v>0.0014</v>
      </c>
      <c r="L51" s="30">
        <f t="shared" si="19"/>
        <v>0.0014</v>
      </c>
      <c r="N51" s="50" t="s">
        <v>7</v>
      </c>
      <c r="O51" s="30">
        <f t="shared" si="20"/>
        <v>0</v>
      </c>
      <c r="Z51" s="30">
        <f t="shared" si="21"/>
        <v>0</v>
      </c>
      <c r="AA51" s="30">
        <f t="shared" si="22"/>
        <v>0</v>
      </c>
      <c r="AB51" s="30">
        <f t="shared" si="23"/>
        <v>0</v>
      </c>
      <c r="AD51" s="30">
        <v>20</v>
      </c>
      <c r="AE51" s="30">
        <f>G51*0.171863234992128</f>
        <v>0</v>
      </c>
      <c r="AF51" s="30">
        <f>G51*(1-0.171863234992128)</f>
        <v>0</v>
      </c>
    </row>
    <row r="52" spans="1:32" ht="12.75">
      <c r="A52" s="9" t="s">
        <v>38</v>
      </c>
      <c r="B52" s="9"/>
      <c r="C52" s="9" t="s">
        <v>113</v>
      </c>
      <c r="D52" s="9" t="s">
        <v>206</v>
      </c>
      <c r="E52" s="9" t="s">
        <v>263</v>
      </c>
      <c r="F52" s="30">
        <v>1</v>
      </c>
      <c r="H52" s="30">
        <f t="shared" si="16"/>
        <v>0</v>
      </c>
      <c r="I52" s="30">
        <f t="shared" si="17"/>
        <v>0</v>
      </c>
      <c r="J52" s="30">
        <f t="shared" si="18"/>
        <v>0</v>
      </c>
      <c r="K52" s="30">
        <v>0.0435</v>
      </c>
      <c r="L52" s="30">
        <f t="shared" si="19"/>
        <v>0.0435</v>
      </c>
      <c r="N52" s="50" t="s">
        <v>7</v>
      </c>
      <c r="O52" s="30">
        <f t="shared" si="20"/>
        <v>0</v>
      </c>
      <c r="Z52" s="30">
        <f t="shared" si="21"/>
        <v>0</v>
      </c>
      <c r="AA52" s="30">
        <f t="shared" si="22"/>
        <v>0</v>
      </c>
      <c r="AB52" s="30">
        <f t="shared" si="23"/>
        <v>0</v>
      </c>
      <c r="AD52" s="30">
        <v>20</v>
      </c>
      <c r="AE52" s="30">
        <f>G52*0</f>
        <v>0</v>
      </c>
      <c r="AF52" s="30">
        <f>G52*(1-0)</f>
        <v>0</v>
      </c>
    </row>
    <row r="53" spans="1:32" ht="12.75">
      <c r="A53" s="9" t="s">
        <v>39</v>
      </c>
      <c r="B53" s="9"/>
      <c r="C53" s="9" t="s">
        <v>114</v>
      </c>
      <c r="D53" s="9" t="s">
        <v>207</v>
      </c>
      <c r="E53" s="9" t="s">
        <v>263</v>
      </c>
      <c r="F53" s="30">
        <v>1</v>
      </c>
      <c r="H53" s="30">
        <f t="shared" si="16"/>
        <v>0</v>
      </c>
      <c r="I53" s="30">
        <f t="shared" si="17"/>
        <v>0</v>
      </c>
      <c r="J53" s="30">
        <f t="shared" si="18"/>
        <v>0</v>
      </c>
      <c r="K53" s="30">
        <v>0.05572</v>
      </c>
      <c r="L53" s="30">
        <f t="shared" si="19"/>
        <v>0.05572</v>
      </c>
      <c r="N53" s="50" t="s">
        <v>7</v>
      </c>
      <c r="O53" s="30">
        <f t="shared" si="20"/>
        <v>0</v>
      </c>
      <c r="Z53" s="30">
        <f t="shared" si="21"/>
        <v>0</v>
      </c>
      <c r="AA53" s="30">
        <f t="shared" si="22"/>
        <v>0</v>
      </c>
      <c r="AB53" s="30">
        <f t="shared" si="23"/>
        <v>0</v>
      </c>
      <c r="AD53" s="30">
        <v>20</v>
      </c>
      <c r="AE53" s="30">
        <f>G53*0.379576610274872</f>
        <v>0</v>
      </c>
      <c r="AF53" s="30">
        <f>G53*(1-0.379576610274872)</f>
        <v>0</v>
      </c>
    </row>
    <row r="54" spans="1:32" ht="12.75">
      <c r="A54" s="9" t="s">
        <v>40</v>
      </c>
      <c r="B54" s="9"/>
      <c r="C54" s="9" t="s">
        <v>115</v>
      </c>
      <c r="D54" s="9" t="s">
        <v>208</v>
      </c>
      <c r="E54" s="9" t="s">
        <v>263</v>
      </c>
      <c r="F54" s="30">
        <v>1</v>
      </c>
      <c r="H54" s="30">
        <f t="shared" si="16"/>
        <v>0</v>
      </c>
      <c r="I54" s="30">
        <f t="shared" si="17"/>
        <v>0</v>
      </c>
      <c r="J54" s="30">
        <f t="shared" si="18"/>
        <v>0</v>
      </c>
      <c r="K54" s="30">
        <v>0.00089</v>
      </c>
      <c r="L54" s="30">
        <f t="shared" si="19"/>
        <v>0.00089</v>
      </c>
      <c r="N54" s="50" t="s">
        <v>7</v>
      </c>
      <c r="O54" s="30">
        <f t="shared" si="20"/>
        <v>0</v>
      </c>
      <c r="Z54" s="30">
        <f t="shared" si="21"/>
        <v>0</v>
      </c>
      <c r="AA54" s="30">
        <f t="shared" si="22"/>
        <v>0</v>
      </c>
      <c r="AB54" s="30">
        <f t="shared" si="23"/>
        <v>0</v>
      </c>
      <c r="AD54" s="30">
        <v>20</v>
      </c>
      <c r="AE54" s="30">
        <f>G54*0.250789617630971</f>
        <v>0</v>
      </c>
      <c r="AF54" s="30">
        <f>G54*(1-0.250789617630971)</f>
        <v>0</v>
      </c>
    </row>
    <row r="55" spans="1:32" ht="12.75">
      <c r="A55" s="9" t="s">
        <v>41</v>
      </c>
      <c r="B55" s="9"/>
      <c r="C55" s="9" t="s">
        <v>116</v>
      </c>
      <c r="D55" s="9" t="s">
        <v>209</v>
      </c>
      <c r="E55" s="9" t="s">
        <v>263</v>
      </c>
      <c r="F55" s="30">
        <v>1</v>
      </c>
      <c r="H55" s="30">
        <f t="shared" si="16"/>
        <v>0</v>
      </c>
      <c r="I55" s="30">
        <f t="shared" si="17"/>
        <v>0</v>
      </c>
      <c r="J55" s="30">
        <f t="shared" si="18"/>
        <v>0</v>
      </c>
      <c r="K55" s="30">
        <v>0.00156</v>
      </c>
      <c r="L55" s="30">
        <f t="shared" si="19"/>
        <v>0.00156</v>
      </c>
      <c r="N55" s="50" t="s">
        <v>7</v>
      </c>
      <c r="O55" s="30">
        <f t="shared" si="20"/>
        <v>0</v>
      </c>
      <c r="Z55" s="30">
        <f t="shared" si="21"/>
        <v>0</v>
      </c>
      <c r="AA55" s="30">
        <f t="shared" si="22"/>
        <v>0</v>
      </c>
      <c r="AB55" s="30">
        <f t="shared" si="23"/>
        <v>0</v>
      </c>
      <c r="AD55" s="30">
        <v>20</v>
      </c>
      <c r="AE55" s="30">
        <f>G55*0</f>
        <v>0</v>
      </c>
      <c r="AF55" s="30">
        <f>G55*(1-0)</f>
        <v>0</v>
      </c>
    </row>
    <row r="56" spans="1:32" ht="12.75">
      <c r="A56" s="9" t="s">
        <v>42</v>
      </c>
      <c r="B56" s="9"/>
      <c r="C56" s="9" t="s">
        <v>117</v>
      </c>
      <c r="D56" s="9" t="s">
        <v>210</v>
      </c>
      <c r="E56" s="9" t="s">
        <v>263</v>
      </c>
      <c r="F56" s="30">
        <v>1</v>
      </c>
      <c r="H56" s="30">
        <f t="shared" si="16"/>
        <v>0</v>
      </c>
      <c r="I56" s="30">
        <f t="shared" si="17"/>
        <v>0</v>
      </c>
      <c r="J56" s="30">
        <f t="shared" si="18"/>
        <v>0</v>
      </c>
      <c r="K56" s="30">
        <v>0.02</v>
      </c>
      <c r="L56" s="30">
        <f t="shared" si="19"/>
        <v>0.02</v>
      </c>
      <c r="N56" s="50" t="s">
        <v>281</v>
      </c>
      <c r="O56" s="30">
        <f t="shared" si="20"/>
        <v>0</v>
      </c>
      <c r="Z56" s="30">
        <f t="shared" si="21"/>
        <v>0</v>
      </c>
      <c r="AA56" s="30">
        <f t="shared" si="22"/>
        <v>0</v>
      </c>
      <c r="AB56" s="30">
        <f t="shared" si="23"/>
        <v>0</v>
      </c>
      <c r="AD56" s="30">
        <v>20</v>
      </c>
      <c r="AE56" s="30">
        <f aca="true" t="shared" si="24" ref="AE56:AE64">G56*1</f>
        <v>0</v>
      </c>
      <c r="AF56" s="30">
        <f aca="true" t="shared" si="25" ref="AF56:AF64">G56*(1-1)</f>
        <v>0</v>
      </c>
    </row>
    <row r="57" spans="1:32" ht="12.75">
      <c r="A57" s="9" t="s">
        <v>43</v>
      </c>
      <c r="B57" s="9"/>
      <c r="C57" s="9" t="s">
        <v>118</v>
      </c>
      <c r="D57" s="9" t="s">
        <v>211</v>
      </c>
      <c r="E57" s="9" t="s">
        <v>263</v>
      </c>
      <c r="F57" s="30">
        <v>1</v>
      </c>
      <c r="H57" s="30">
        <f t="shared" si="16"/>
        <v>0</v>
      </c>
      <c r="I57" s="30">
        <f t="shared" si="17"/>
        <v>0</v>
      </c>
      <c r="J57" s="30">
        <f t="shared" si="18"/>
        <v>0</v>
      </c>
      <c r="K57" s="30">
        <v>0.015</v>
      </c>
      <c r="L57" s="30">
        <f t="shared" si="19"/>
        <v>0.015</v>
      </c>
      <c r="N57" s="50" t="s">
        <v>281</v>
      </c>
      <c r="O57" s="30">
        <f t="shared" si="20"/>
        <v>0</v>
      </c>
      <c r="Z57" s="30">
        <f t="shared" si="21"/>
        <v>0</v>
      </c>
      <c r="AA57" s="30">
        <f t="shared" si="22"/>
        <v>0</v>
      </c>
      <c r="AB57" s="30">
        <f t="shared" si="23"/>
        <v>0</v>
      </c>
      <c r="AD57" s="30">
        <v>20</v>
      </c>
      <c r="AE57" s="30">
        <f t="shared" si="24"/>
        <v>0</v>
      </c>
      <c r="AF57" s="30">
        <f t="shared" si="25"/>
        <v>0</v>
      </c>
    </row>
    <row r="58" spans="1:32" ht="12.75">
      <c r="A58" s="9" t="s">
        <v>44</v>
      </c>
      <c r="B58" s="9"/>
      <c r="C58" s="9" t="s">
        <v>119</v>
      </c>
      <c r="D58" s="9" t="s">
        <v>212</v>
      </c>
      <c r="E58" s="9" t="s">
        <v>263</v>
      </c>
      <c r="F58" s="30">
        <v>1</v>
      </c>
      <c r="H58" s="30">
        <f t="shared" si="16"/>
        <v>0</v>
      </c>
      <c r="I58" s="30">
        <f t="shared" si="17"/>
        <v>0</v>
      </c>
      <c r="J58" s="30">
        <f t="shared" si="18"/>
        <v>0</v>
      </c>
      <c r="K58" s="30">
        <v>0.005</v>
      </c>
      <c r="L58" s="30">
        <f t="shared" si="19"/>
        <v>0.005</v>
      </c>
      <c r="N58" s="50" t="s">
        <v>281</v>
      </c>
      <c r="O58" s="30">
        <f t="shared" si="20"/>
        <v>0</v>
      </c>
      <c r="Z58" s="30">
        <f t="shared" si="21"/>
        <v>0</v>
      </c>
      <c r="AA58" s="30">
        <f t="shared" si="22"/>
        <v>0</v>
      </c>
      <c r="AB58" s="30">
        <f t="shared" si="23"/>
        <v>0</v>
      </c>
      <c r="AD58" s="30">
        <v>20</v>
      </c>
      <c r="AE58" s="30">
        <f t="shared" si="24"/>
        <v>0</v>
      </c>
      <c r="AF58" s="30">
        <f t="shared" si="25"/>
        <v>0</v>
      </c>
    </row>
    <row r="59" spans="1:32" ht="12.75">
      <c r="A59" s="9" t="s">
        <v>45</v>
      </c>
      <c r="B59" s="9"/>
      <c r="C59" s="9" t="s">
        <v>120</v>
      </c>
      <c r="D59" s="9" t="s">
        <v>213</v>
      </c>
      <c r="E59" s="9" t="s">
        <v>263</v>
      </c>
      <c r="F59" s="30">
        <v>1</v>
      </c>
      <c r="H59" s="30">
        <f t="shared" si="16"/>
        <v>0</v>
      </c>
      <c r="I59" s="30">
        <f t="shared" si="17"/>
        <v>0</v>
      </c>
      <c r="J59" s="30">
        <f t="shared" si="18"/>
        <v>0</v>
      </c>
      <c r="K59" s="30">
        <v>0.005</v>
      </c>
      <c r="L59" s="30">
        <f t="shared" si="19"/>
        <v>0.005</v>
      </c>
      <c r="N59" s="50" t="s">
        <v>281</v>
      </c>
      <c r="O59" s="30">
        <f t="shared" si="20"/>
        <v>0</v>
      </c>
      <c r="Z59" s="30">
        <f t="shared" si="21"/>
        <v>0</v>
      </c>
      <c r="AA59" s="30">
        <f t="shared" si="22"/>
        <v>0</v>
      </c>
      <c r="AB59" s="30">
        <f t="shared" si="23"/>
        <v>0</v>
      </c>
      <c r="AD59" s="30">
        <v>20</v>
      </c>
      <c r="AE59" s="30">
        <f t="shared" si="24"/>
        <v>0</v>
      </c>
      <c r="AF59" s="30">
        <f t="shared" si="25"/>
        <v>0</v>
      </c>
    </row>
    <row r="60" spans="1:32" ht="12.75">
      <c r="A60" s="9" t="s">
        <v>46</v>
      </c>
      <c r="B60" s="9"/>
      <c r="C60" s="9" t="s">
        <v>121</v>
      </c>
      <c r="D60" s="9" t="s">
        <v>214</v>
      </c>
      <c r="E60" s="9" t="s">
        <v>263</v>
      </c>
      <c r="F60" s="30">
        <v>1</v>
      </c>
      <c r="H60" s="30">
        <f t="shared" si="16"/>
        <v>0</v>
      </c>
      <c r="I60" s="30">
        <f t="shared" si="17"/>
        <v>0</v>
      </c>
      <c r="J60" s="30">
        <f t="shared" si="18"/>
        <v>0</v>
      </c>
      <c r="K60" s="30">
        <v>0.01</v>
      </c>
      <c r="L60" s="30">
        <f t="shared" si="19"/>
        <v>0.01</v>
      </c>
      <c r="N60" s="50" t="s">
        <v>281</v>
      </c>
      <c r="O60" s="30">
        <f t="shared" si="20"/>
        <v>0</v>
      </c>
      <c r="Z60" s="30">
        <f t="shared" si="21"/>
        <v>0</v>
      </c>
      <c r="AA60" s="30">
        <f t="shared" si="22"/>
        <v>0</v>
      </c>
      <c r="AB60" s="30">
        <f t="shared" si="23"/>
        <v>0</v>
      </c>
      <c r="AD60" s="30">
        <v>20</v>
      </c>
      <c r="AE60" s="30">
        <f t="shared" si="24"/>
        <v>0</v>
      </c>
      <c r="AF60" s="30">
        <f t="shared" si="25"/>
        <v>0</v>
      </c>
    </row>
    <row r="61" spans="1:32" ht="12.75">
      <c r="A61" s="9" t="s">
        <v>47</v>
      </c>
      <c r="B61" s="9"/>
      <c r="C61" s="9" t="s">
        <v>122</v>
      </c>
      <c r="D61" s="9" t="s">
        <v>215</v>
      </c>
      <c r="E61" s="9" t="s">
        <v>263</v>
      </c>
      <c r="F61" s="30">
        <v>1</v>
      </c>
      <c r="H61" s="30">
        <f t="shared" si="16"/>
        <v>0</v>
      </c>
      <c r="I61" s="30">
        <f t="shared" si="17"/>
        <v>0</v>
      </c>
      <c r="J61" s="30">
        <f t="shared" si="18"/>
        <v>0</v>
      </c>
      <c r="K61" s="30">
        <v>0.002</v>
      </c>
      <c r="L61" s="30">
        <f t="shared" si="19"/>
        <v>0.002</v>
      </c>
      <c r="N61" s="50" t="s">
        <v>281</v>
      </c>
      <c r="O61" s="30">
        <f t="shared" si="20"/>
        <v>0</v>
      </c>
      <c r="Z61" s="30">
        <f t="shared" si="21"/>
        <v>0</v>
      </c>
      <c r="AA61" s="30">
        <f t="shared" si="22"/>
        <v>0</v>
      </c>
      <c r="AB61" s="30">
        <f t="shared" si="23"/>
        <v>0</v>
      </c>
      <c r="AD61" s="30">
        <v>20</v>
      </c>
      <c r="AE61" s="30">
        <f t="shared" si="24"/>
        <v>0</v>
      </c>
      <c r="AF61" s="30">
        <f t="shared" si="25"/>
        <v>0</v>
      </c>
    </row>
    <row r="62" spans="1:32" ht="12.75">
      <c r="A62" s="9" t="s">
        <v>48</v>
      </c>
      <c r="B62" s="9"/>
      <c r="C62" s="9" t="s">
        <v>123</v>
      </c>
      <c r="D62" s="9" t="s">
        <v>216</v>
      </c>
      <c r="E62" s="9" t="s">
        <v>263</v>
      </c>
      <c r="F62" s="30">
        <v>1</v>
      </c>
      <c r="H62" s="30">
        <f t="shared" si="16"/>
        <v>0</v>
      </c>
      <c r="I62" s="30">
        <f t="shared" si="17"/>
        <v>0</v>
      </c>
      <c r="J62" s="30">
        <f t="shared" si="18"/>
        <v>0</v>
      </c>
      <c r="K62" s="30">
        <v>0.001</v>
      </c>
      <c r="L62" s="30">
        <f t="shared" si="19"/>
        <v>0.001</v>
      </c>
      <c r="N62" s="50" t="s">
        <v>281</v>
      </c>
      <c r="O62" s="30">
        <f t="shared" si="20"/>
        <v>0</v>
      </c>
      <c r="Z62" s="30">
        <f t="shared" si="21"/>
        <v>0</v>
      </c>
      <c r="AA62" s="30">
        <f t="shared" si="22"/>
        <v>0</v>
      </c>
      <c r="AB62" s="30">
        <f t="shared" si="23"/>
        <v>0</v>
      </c>
      <c r="AD62" s="30">
        <v>20</v>
      </c>
      <c r="AE62" s="30">
        <f t="shared" si="24"/>
        <v>0</v>
      </c>
      <c r="AF62" s="30">
        <f t="shared" si="25"/>
        <v>0</v>
      </c>
    </row>
    <row r="63" spans="1:32" ht="12.75">
      <c r="A63" s="9" t="s">
        <v>49</v>
      </c>
      <c r="B63" s="9"/>
      <c r="C63" s="9" t="s">
        <v>124</v>
      </c>
      <c r="D63" s="9" t="s">
        <v>217</v>
      </c>
      <c r="E63" s="9" t="s">
        <v>263</v>
      </c>
      <c r="F63" s="30">
        <v>1</v>
      </c>
      <c r="H63" s="30">
        <f t="shared" si="16"/>
        <v>0</v>
      </c>
      <c r="I63" s="30">
        <f t="shared" si="17"/>
        <v>0</v>
      </c>
      <c r="J63" s="30">
        <f t="shared" si="18"/>
        <v>0</v>
      </c>
      <c r="K63" s="30">
        <v>0.003</v>
      </c>
      <c r="L63" s="30">
        <f t="shared" si="19"/>
        <v>0.003</v>
      </c>
      <c r="N63" s="50" t="s">
        <v>281</v>
      </c>
      <c r="O63" s="30">
        <f t="shared" si="20"/>
        <v>0</v>
      </c>
      <c r="Z63" s="30">
        <f t="shared" si="21"/>
        <v>0</v>
      </c>
      <c r="AA63" s="30">
        <f t="shared" si="22"/>
        <v>0</v>
      </c>
      <c r="AB63" s="30">
        <f t="shared" si="23"/>
        <v>0</v>
      </c>
      <c r="AD63" s="30">
        <v>20</v>
      </c>
      <c r="AE63" s="30">
        <f t="shared" si="24"/>
        <v>0</v>
      </c>
      <c r="AF63" s="30">
        <f t="shared" si="25"/>
        <v>0</v>
      </c>
    </row>
    <row r="64" spans="1:32" ht="12.75">
      <c r="A64" s="9" t="s">
        <v>50</v>
      </c>
      <c r="B64" s="9"/>
      <c r="C64" s="9" t="s">
        <v>125</v>
      </c>
      <c r="D64" s="9" t="s">
        <v>218</v>
      </c>
      <c r="E64" s="9" t="s">
        <v>263</v>
      </c>
      <c r="F64" s="30">
        <v>1</v>
      </c>
      <c r="H64" s="30">
        <f t="shared" si="16"/>
        <v>0</v>
      </c>
      <c r="I64" s="30">
        <f t="shared" si="17"/>
        <v>0</v>
      </c>
      <c r="J64" s="30">
        <f t="shared" si="18"/>
        <v>0</v>
      </c>
      <c r="K64" s="30">
        <v>0.01</v>
      </c>
      <c r="L64" s="30">
        <f t="shared" si="19"/>
        <v>0.01</v>
      </c>
      <c r="N64" s="50" t="s">
        <v>281</v>
      </c>
      <c r="O64" s="30">
        <f t="shared" si="20"/>
        <v>0</v>
      </c>
      <c r="Z64" s="30">
        <f t="shared" si="21"/>
        <v>0</v>
      </c>
      <c r="AA64" s="30">
        <f t="shared" si="22"/>
        <v>0</v>
      </c>
      <c r="AB64" s="30">
        <f t="shared" si="23"/>
        <v>0</v>
      </c>
      <c r="AD64" s="30">
        <v>20</v>
      </c>
      <c r="AE64" s="30">
        <f t="shared" si="24"/>
        <v>0</v>
      </c>
      <c r="AF64" s="30">
        <f t="shared" si="25"/>
        <v>0</v>
      </c>
    </row>
    <row r="65" spans="1:37" ht="12.75">
      <c r="A65" s="10"/>
      <c r="B65" s="10"/>
      <c r="C65" s="20" t="s">
        <v>126</v>
      </c>
      <c r="D65" s="25" t="s">
        <v>219</v>
      </c>
      <c r="E65" s="28"/>
      <c r="F65" s="28"/>
      <c r="G65" s="28"/>
      <c r="H65" s="52">
        <f>SUM(H66:H67)</f>
        <v>0</v>
      </c>
      <c r="I65" s="52">
        <f>SUM(I66:I67)</f>
        <v>0</v>
      </c>
      <c r="J65" s="52">
        <f>H65+I65</f>
        <v>0</v>
      </c>
      <c r="K65" s="44"/>
      <c r="L65" s="52">
        <f>SUM(L66:L67)</f>
        <v>0.006534</v>
      </c>
      <c r="P65" s="52">
        <f>IF(Q65="PR",J65,SUM(O66:O67))</f>
        <v>0</v>
      </c>
      <c r="Q65" s="44" t="s">
        <v>285</v>
      </c>
      <c r="R65" s="52">
        <f>IF(Q65="HS",H65,0)</f>
        <v>0</v>
      </c>
      <c r="S65" s="52">
        <f>IF(Q65="HS",I65-P65,0)</f>
        <v>0</v>
      </c>
      <c r="T65" s="52">
        <f>IF(Q65="PS",H65,0)</f>
        <v>0</v>
      </c>
      <c r="U65" s="52">
        <f>IF(Q65="PS",I65-P65,0)</f>
        <v>0</v>
      </c>
      <c r="V65" s="52">
        <f>IF(Q65="MP",H65,0)</f>
        <v>0</v>
      </c>
      <c r="W65" s="52">
        <f>IF(Q65="MP",I65-P65,0)</f>
        <v>0</v>
      </c>
      <c r="X65" s="52">
        <f>IF(Q65="OM",H65,0)</f>
        <v>0</v>
      </c>
      <c r="Y65" s="44"/>
      <c r="AI65" s="52">
        <f>SUM(Z66:Z67)</f>
        <v>0</v>
      </c>
      <c r="AJ65" s="52">
        <f>SUM(AA66:AA67)</f>
        <v>0</v>
      </c>
      <c r="AK65" s="52">
        <f>SUM(AB66:AB67)</f>
        <v>0</v>
      </c>
    </row>
    <row r="66" spans="1:32" ht="12.75">
      <c r="A66" s="9" t="s">
        <v>51</v>
      </c>
      <c r="B66" s="9"/>
      <c r="C66" s="9" t="s">
        <v>127</v>
      </c>
      <c r="D66" s="9" t="s">
        <v>220</v>
      </c>
      <c r="E66" s="9" t="s">
        <v>260</v>
      </c>
      <c r="F66" s="30">
        <v>1.8</v>
      </c>
      <c r="H66" s="30">
        <f>ROUND(F66*AE66,2)</f>
        <v>0</v>
      </c>
      <c r="I66" s="30">
        <f>J66-H66</f>
        <v>0</v>
      </c>
      <c r="J66" s="30">
        <f>ROUND(F66*G66,2)</f>
        <v>0</v>
      </c>
      <c r="K66" s="30">
        <v>0.00181</v>
      </c>
      <c r="L66" s="30">
        <f>F66*K66</f>
        <v>0.003258</v>
      </c>
      <c r="N66" s="50" t="s">
        <v>9</v>
      </c>
      <c r="O66" s="30">
        <f>IF(N66="5",I66,0)</f>
        <v>0</v>
      </c>
      <c r="Z66" s="30">
        <f>IF(AD66=0,J66,0)</f>
        <v>0</v>
      </c>
      <c r="AA66" s="30">
        <f>IF(AD66=14,J66,0)</f>
        <v>0</v>
      </c>
      <c r="AB66" s="30">
        <f>IF(AD66=20,J66,0)</f>
        <v>0</v>
      </c>
      <c r="AD66" s="30">
        <v>20</v>
      </c>
      <c r="AE66" s="30">
        <f>G66*0</f>
        <v>0</v>
      </c>
      <c r="AF66" s="30">
        <f>G66*(1-0)</f>
        <v>0</v>
      </c>
    </row>
    <row r="67" spans="1:32" ht="12.75">
      <c r="A67" s="9" t="s">
        <v>52</v>
      </c>
      <c r="B67" s="9"/>
      <c r="C67" s="9" t="s">
        <v>128</v>
      </c>
      <c r="D67" s="9" t="s">
        <v>221</v>
      </c>
      <c r="E67" s="9" t="s">
        <v>260</v>
      </c>
      <c r="F67" s="30">
        <v>1.8</v>
      </c>
      <c r="H67" s="30">
        <f>ROUND(F67*AE67,2)</f>
        <v>0</v>
      </c>
      <c r="I67" s="30">
        <f>J67-H67</f>
        <v>0</v>
      </c>
      <c r="J67" s="30">
        <f>ROUND(F67*G67,2)</f>
        <v>0</v>
      </c>
      <c r="K67" s="30">
        <v>0.00182</v>
      </c>
      <c r="L67" s="30">
        <f>F67*K67</f>
        <v>0.0032760000000000003</v>
      </c>
      <c r="N67" s="50" t="s">
        <v>7</v>
      </c>
      <c r="O67" s="30">
        <f>IF(N67="5",I67,0)</f>
        <v>0</v>
      </c>
      <c r="Z67" s="30">
        <f>IF(AD67=0,J67,0)</f>
        <v>0</v>
      </c>
      <c r="AA67" s="30">
        <f>IF(AD67=14,J67,0)</f>
        <v>0</v>
      </c>
      <c r="AB67" s="30">
        <f>IF(AD67=20,J67,0)</f>
        <v>0</v>
      </c>
      <c r="AD67" s="30">
        <v>20</v>
      </c>
      <c r="AE67" s="30">
        <f>G67*0.450691101102656</f>
        <v>0</v>
      </c>
      <c r="AF67" s="30">
        <f>G67*(1-0.450691101102656)</f>
        <v>0</v>
      </c>
    </row>
    <row r="68" spans="1:37" ht="12.75">
      <c r="A68" s="10"/>
      <c r="B68" s="10"/>
      <c r="C68" s="20" t="s">
        <v>129</v>
      </c>
      <c r="D68" s="25" t="s">
        <v>222</v>
      </c>
      <c r="E68" s="28"/>
      <c r="F68" s="28"/>
      <c r="G68" s="28"/>
      <c r="H68" s="52">
        <f>SUM(H69:H69)</f>
        <v>0</v>
      </c>
      <c r="I68" s="52">
        <f>SUM(I69:I69)</f>
        <v>0</v>
      </c>
      <c r="J68" s="52">
        <f>H68+I68</f>
        <v>0</v>
      </c>
      <c r="K68" s="44"/>
      <c r="L68" s="52">
        <f>SUM(L69:L69)</f>
        <v>0</v>
      </c>
      <c r="P68" s="52">
        <f>IF(Q68="PR",J68,SUM(O69:O69))</f>
        <v>0</v>
      </c>
      <c r="Q68" s="44" t="s">
        <v>285</v>
      </c>
      <c r="R68" s="52">
        <f>IF(Q68="HS",H68,0)</f>
        <v>0</v>
      </c>
      <c r="S68" s="52">
        <f>IF(Q68="HS",I68-P68,0)</f>
        <v>0</v>
      </c>
      <c r="T68" s="52">
        <f>IF(Q68="PS",H68,0)</f>
        <v>0</v>
      </c>
      <c r="U68" s="52">
        <f>IF(Q68="PS",I68-P68,0)</f>
        <v>0</v>
      </c>
      <c r="V68" s="52">
        <f>IF(Q68="MP",H68,0)</f>
        <v>0</v>
      </c>
      <c r="W68" s="52">
        <f>IF(Q68="MP",I68-P68,0)</f>
        <v>0</v>
      </c>
      <c r="X68" s="52">
        <f>IF(Q68="OM",H68,0)</f>
        <v>0</v>
      </c>
      <c r="Y68" s="44"/>
      <c r="AI68" s="52">
        <f>SUM(Z69:Z69)</f>
        <v>0</v>
      </c>
      <c r="AJ68" s="52">
        <f>SUM(AA69:AA69)</f>
        <v>0</v>
      </c>
      <c r="AK68" s="52">
        <f>SUM(AB69:AB69)</f>
        <v>0</v>
      </c>
    </row>
    <row r="69" spans="1:32" ht="12.75">
      <c r="A69" s="9" t="s">
        <v>53</v>
      </c>
      <c r="B69" s="9"/>
      <c r="C69" s="9" t="s">
        <v>130</v>
      </c>
      <c r="D69" s="9" t="s">
        <v>223</v>
      </c>
      <c r="E69" s="9" t="s">
        <v>262</v>
      </c>
      <c r="F69" s="30">
        <v>2</v>
      </c>
      <c r="H69" s="30">
        <f>ROUND(F69*AE69,2)</f>
        <v>0</v>
      </c>
      <c r="I69" s="30">
        <f>J69-H69</f>
        <v>0</v>
      </c>
      <c r="J69" s="30">
        <f>ROUND(F69*G69,2)</f>
        <v>0</v>
      </c>
      <c r="K69" s="30">
        <v>0</v>
      </c>
      <c r="L69" s="30">
        <f>F69*K69</f>
        <v>0</v>
      </c>
      <c r="N69" s="50" t="s">
        <v>7</v>
      </c>
      <c r="O69" s="30">
        <f>IF(N69="5",I69,0)</f>
        <v>0</v>
      </c>
      <c r="Z69" s="30">
        <f>IF(AD69=0,J69,0)</f>
        <v>0</v>
      </c>
      <c r="AA69" s="30">
        <f>IF(AD69=14,J69,0)</f>
        <v>0</v>
      </c>
      <c r="AB69" s="30">
        <f>IF(AD69=20,J69,0)</f>
        <v>0</v>
      </c>
      <c r="AD69" s="30">
        <v>20</v>
      </c>
      <c r="AE69" s="30">
        <f>G69*0</f>
        <v>0</v>
      </c>
      <c r="AF69" s="30">
        <f>G69*(1-0)</f>
        <v>0</v>
      </c>
    </row>
    <row r="70" spans="1:37" ht="12.75">
      <c r="A70" s="10"/>
      <c r="B70" s="10"/>
      <c r="C70" s="20" t="s">
        <v>131</v>
      </c>
      <c r="D70" s="25" t="s">
        <v>224</v>
      </c>
      <c r="E70" s="28"/>
      <c r="F70" s="28"/>
      <c r="G70" s="28"/>
      <c r="H70" s="52">
        <f>SUM(H71:H72)</f>
        <v>0</v>
      </c>
      <c r="I70" s="52">
        <f>SUM(I71:I72)</f>
        <v>0</v>
      </c>
      <c r="J70" s="52">
        <f>H70+I70</f>
        <v>0</v>
      </c>
      <c r="K70" s="44"/>
      <c r="L70" s="52">
        <f>SUM(L71:L72)</f>
        <v>0.2643405</v>
      </c>
      <c r="P70" s="52">
        <f>IF(Q70="PR",J70,SUM(O71:O72))</f>
        <v>0</v>
      </c>
      <c r="Q70" s="44" t="s">
        <v>285</v>
      </c>
      <c r="R70" s="52">
        <f>IF(Q70="HS",H70,0)</f>
        <v>0</v>
      </c>
      <c r="S70" s="52">
        <f>IF(Q70="HS",I70-P70,0)</f>
        <v>0</v>
      </c>
      <c r="T70" s="52">
        <f>IF(Q70="PS",H70,0)</f>
        <v>0</v>
      </c>
      <c r="U70" s="52">
        <f>IF(Q70="PS",I70-P70,0)</f>
        <v>0</v>
      </c>
      <c r="V70" s="52">
        <f>IF(Q70="MP",H70,0)</f>
        <v>0</v>
      </c>
      <c r="W70" s="52">
        <f>IF(Q70="MP",I70-P70,0)</f>
        <v>0</v>
      </c>
      <c r="X70" s="52">
        <f>IF(Q70="OM",H70,0)</f>
        <v>0</v>
      </c>
      <c r="Y70" s="44"/>
      <c r="AI70" s="52">
        <f>SUM(Z71:Z72)</f>
        <v>0</v>
      </c>
      <c r="AJ70" s="52">
        <f>SUM(AA71:AA72)</f>
        <v>0</v>
      </c>
      <c r="AK70" s="52">
        <f>SUM(AB71:AB72)</f>
        <v>0</v>
      </c>
    </row>
    <row r="71" spans="1:32" ht="12.75">
      <c r="A71" s="9" t="s">
        <v>54</v>
      </c>
      <c r="B71" s="9"/>
      <c r="C71" s="9" t="s">
        <v>132</v>
      </c>
      <c r="D71" s="9" t="s">
        <v>225</v>
      </c>
      <c r="E71" s="9" t="s">
        <v>259</v>
      </c>
      <c r="F71" s="30">
        <v>10.91</v>
      </c>
      <c r="H71" s="30">
        <f>ROUND(F71*AE71,2)</f>
        <v>0</v>
      </c>
      <c r="I71" s="30">
        <f>J71-H71</f>
        <v>0</v>
      </c>
      <c r="J71" s="30">
        <f>ROUND(F71*G71,2)</f>
        <v>0</v>
      </c>
      <c r="K71" s="30">
        <v>0.00455</v>
      </c>
      <c r="L71" s="30">
        <f>F71*K71</f>
        <v>0.049640500000000004</v>
      </c>
      <c r="N71" s="50" t="s">
        <v>7</v>
      </c>
      <c r="O71" s="30">
        <f>IF(N71="5",I71,0)</f>
        <v>0</v>
      </c>
      <c r="Z71" s="30">
        <f>IF(AD71=0,J71,0)</f>
        <v>0</v>
      </c>
      <c r="AA71" s="30">
        <f>IF(AD71=14,J71,0)</f>
        <v>0</v>
      </c>
      <c r="AB71" s="30">
        <f>IF(AD71=20,J71,0)</f>
        <v>0</v>
      </c>
      <c r="AD71" s="30">
        <v>20</v>
      </c>
      <c r="AE71" s="30">
        <f>G71*0.187298136645963</f>
        <v>0</v>
      </c>
      <c r="AF71" s="30">
        <f>G71*(1-0.187298136645963)</f>
        <v>0</v>
      </c>
    </row>
    <row r="72" spans="1:32" ht="12.75">
      <c r="A72" s="9" t="s">
        <v>55</v>
      </c>
      <c r="B72" s="9"/>
      <c r="C72" s="9" t="s">
        <v>133</v>
      </c>
      <c r="D72" s="9" t="s">
        <v>226</v>
      </c>
      <c r="E72" s="9" t="s">
        <v>259</v>
      </c>
      <c r="F72" s="30">
        <v>11.3</v>
      </c>
      <c r="H72" s="30">
        <f>ROUND(F72*AE72,2)</f>
        <v>0</v>
      </c>
      <c r="I72" s="30">
        <f>J72-H72</f>
        <v>0</v>
      </c>
      <c r="J72" s="30">
        <f>ROUND(F72*G72,2)</f>
        <v>0</v>
      </c>
      <c r="K72" s="30">
        <v>0.019</v>
      </c>
      <c r="L72" s="30">
        <f>F72*K72</f>
        <v>0.2147</v>
      </c>
      <c r="N72" s="50" t="s">
        <v>281</v>
      </c>
      <c r="O72" s="30">
        <f>IF(N72="5",I72,0)</f>
        <v>0</v>
      </c>
      <c r="Z72" s="30">
        <f>IF(AD72=0,J72,0)</f>
        <v>0</v>
      </c>
      <c r="AA72" s="30">
        <f>IF(AD72=14,J72,0)</f>
        <v>0</v>
      </c>
      <c r="AB72" s="30">
        <f>IF(AD72=20,J72,0)</f>
        <v>0</v>
      </c>
      <c r="AD72" s="30">
        <v>20</v>
      </c>
      <c r="AE72" s="30">
        <f>G72*1</f>
        <v>0</v>
      </c>
      <c r="AF72" s="30">
        <f>G72*(1-1)</f>
        <v>0</v>
      </c>
    </row>
    <row r="73" spans="1:37" ht="12.75">
      <c r="A73" s="10"/>
      <c r="B73" s="10"/>
      <c r="C73" s="20" t="s">
        <v>134</v>
      </c>
      <c r="D73" s="25" t="s">
        <v>227</v>
      </c>
      <c r="E73" s="28"/>
      <c r="F73" s="28"/>
      <c r="G73" s="28"/>
      <c r="H73" s="52">
        <f>SUM(H74:H76)</f>
        <v>0</v>
      </c>
      <c r="I73" s="52">
        <f>SUM(I74:I76)</f>
        <v>0</v>
      </c>
      <c r="J73" s="52">
        <f>H73+I73</f>
        <v>0</v>
      </c>
      <c r="K73" s="44"/>
      <c r="L73" s="52">
        <f>SUM(L74:L76)</f>
        <v>0.6625331</v>
      </c>
      <c r="P73" s="52">
        <f>IF(Q73="PR",J73,SUM(O74:O76))</f>
        <v>0</v>
      </c>
      <c r="Q73" s="44" t="s">
        <v>285</v>
      </c>
      <c r="R73" s="52">
        <f>IF(Q73="HS",H73,0)</f>
        <v>0</v>
      </c>
      <c r="S73" s="52">
        <f>IF(Q73="HS",I73-P73,0)</f>
        <v>0</v>
      </c>
      <c r="T73" s="52">
        <f>IF(Q73="PS",H73,0)</f>
        <v>0</v>
      </c>
      <c r="U73" s="52">
        <f>IF(Q73="PS",I73-P73,0)</f>
        <v>0</v>
      </c>
      <c r="V73" s="52">
        <f>IF(Q73="MP",H73,0)</f>
        <v>0</v>
      </c>
      <c r="W73" s="52">
        <f>IF(Q73="MP",I73-P73,0)</f>
        <v>0</v>
      </c>
      <c r="X73" s="52">
        <f>IF(Q73="OM",H73,0)</f>
        <v>0</v>
      </c>
      <c r="Y73" s="44"/>
      <c r="AI73" s="52">
        <f>SUM(Z74:Z76)</f>
        <v>0</v>
      </c>
      <c r="AJ73" s="52">
        <f>SUM(AA74:AA76)</f>
        <v>0</v>
      </c>
      <c r="AK73" s="52">
        <f>SUM(AB74:AB76)</f>
        <v>0</v>
      </c>
    </row>
    <row r="74" spans="1:32" ht="12.75">
      <c r="A74" s="9" t="s">
        <v>56</v>
      </c>
      <c r="B74" s="9"/>
      <c r="C74" s="9" t="s">
        <v>135</v>
      </c>
      <c r="D74" s="9" t="s">
        <v>228</v>
      </c>
      <c r="E74" s="9" t="s">
        <v>259</v>
      </c>
      <c r="F74" s="30">
        <v>25.93</v>
      </c>
      <c r="H74" s="30">
        <f>ROUND(F74*AE74,2)</f>
        <v>0</v>
      </c>
      <c r="I74" s="30">
        <f>J74-H74</f>
        <v>0</v>
      </c>
      <c r="J74" s="30">
        <f>ROUND(F74*G74,2)</f>
        <v>0</v>
      </c>
      <c r="K74" s="30">
        <v>0.00467</v>
      </c>
      <c r="L74" s="30">
        <f>F74*K74</f>
        <v>0.1210931</v>
      </c>
      <c r="N74" s="50" t="s">
        <v>7</v>
      </c>
      <c r="O74" s="30">
        <f>IF(N74="5",I74,0)</f>
        <v>0</v>
      </c>
      <c r="Z74" s="30">
        <f>IF(AD74=0,J74,0)</f>
        <v>0</v>
      </c>
      <c r="AA74" s="30">
        <f>IF(AD74=14,J74,0)</f>
        <v>0</v>
      </c>
      <c r="AB74" s="30">
        <f>IF(AD74=20,J74,0)</f>
        <v>0</v>
      </c>
      <c r="AD74" s="30">
        <v>20</v>
      </c>
      <c r="AE74" s="30">
        <f>G74*0.145038342680554</f>
        <v>0</v>
      </c>
      <c r="AF74" s="30">
        <f>G74*(1-0.145038342680554)</f>
        <v>0</v>
      </c>
    </row>
    <row r="75" spans="1:32" ht="12.75">
      <c r="A75" s="9" t="s">
        <v>57</v>
      </c>
      <c r="B75" s="9"/>
      <c r="C75" s="9" t="s">
        <v>136</v>
      </c>
      <c r="D75" s="9" t="s">
        <v>229</v>
      </c>
      <c r="E75" s="9" t="s">
        <v>260</v>
      </c>
      <c r="F75" s="30">
        <v>14.4</v>
      </c>
      <c r="H75" s="30">
        <f>ROUND(F75*AE75,2)</f>
        <v>0</v>
      </c>
      <c r="I75" s="30">
        <f>J75-H75</f>
        <v>0</v>
      </c>
      <c r="J75" s="30">
        <f>ROUND(F75*G75,2)</f>
        <v>0</v>
      </c>
      <c r="K75" s="30">
        <v>0.0001</v>
      </c>
      <c r="L75" s="30">
        <f>F75*K75</f>
        <v>0.00144</v>
      </c>
      <c r="N75" s="50" t="s">
        <v>7</v>
      </c>
      <c r="O75" s="30">
        <f>IF(N75="5",I75,0)</f>
        <v>0</v>
      </c>
      <c r="Z75" s="30">
        <f>IF(AD75=0,J75,0)</f>
        <v>0</v>
      </c>
      <c r="AA75" s="30">
        <f>IF(AD75=14,J75,0)</f>
        <v>0</v>
      </c>
      <c r="AB75" s="30">
        <f>IF(AD75=20,J75,0)</f>
        <v>0</v>
      </c>
      <c r="AD75" s="30">
        <v>20</v>
      </c>
      <c r="AE75" s="30">
        <f>G75*0.846078710675186</f>
        <v>0</v>
      </c>
      <c r="AF75" s="30">
        <f>G75*(1-0.846078710675186)</f>
        <v>0</v>
      </c>
    </row>
    <row r="76" spans="1:32" ht="12.75">
      <c r="A76" s="9" t="s">
        <v>58</v>
      </c>
      <c r="B76" s="9"/>
      <c r="C76" s="9" t="s">
        <v>137</v>
      </c>
      <c r="D76" s="9" t="s">
        <v>230</v>
      </c>
      <c r="E76" s="9" t="s">
        <v>259</v>
      </c>
      <c r="F76" s="30">
        <v>27</v>
      </c>
      <c r="H76" s="30">
        <f>ROUND(F76*AE76,2)</f>
        <v>0</v>
      </c>
      <c r="I76" s="30">
        <f>J76-H76</f>
        <v>0</v>
      </c>
      <c r="J76" s="30">
        <f>ROUND(F76*G76,2)</f>
        <v>0</v>
      </c>
      <c r="K76" s="30">
        <v>0.02</v>
      </c>
      <c r="L76" s="30">
        <f>F76*K76</f>
        <v>0.54</v>
      </c>
      <c r="N76" s="50" t="s">
        <v>281</v>
      </c>
      <c r="O76" s="30">
        <f>IF(N76="5",I76,0)</f>
        <v>0</v>
      </c>
      <c r="Z76" s="30">
        <f>IF(AD76=0,J76,0)</f>
        <v>0</v>
      </c>
      <c r="AA76" s="30">
        <f>IF(AD76=14,J76,0)</f>
        <v>0</v>
      </c>
      <c r="AB76" s="30">
        <f>IF(AD76=20,J76,0)</f>
        <v>0</v>
      </c>
      <c r="AD76" s="30">
        <v>20</v>
      </c>
      <c r="AE76" s="30">
        <f>G76*1</f>
        <v>0</v>
      </c>
      <c r="AF76" s="30">
        <f>G76*(1-1)</f>
        <v>0</v>
      </c>
    </row>
    <row r="77" spans="1:37" ht="12.75">
      <c r="A77" s="10"/>
      <c r="B77" s="10"/>
      <c r="C77" s="20" t="s">
        <v>138</v>
      </c>
      <c r="D77" s="25" t="s">
        <v>231</v>
      </c>
      <c r="E77" s="28"/>
      <c r="F77" s="28"/>
      <c r="G77" s="28"/>
      <c r="H77" s="52">
        <f>SUM(H78:H79)</f>
        <v>0</v>
      </c>
      <c r="I77" s="52">
        <f>SUM(I78:I79)</f>
        <v>0</v>
      </c>
      <c r="J77" s="52">
        <f>H77+I77</f>
        <v>0</v>
      </c>
      <c r="K77" s="44"/>
      <c r="L77" s="52">
        <f>SUM(L78:L79)</f>
        <v>0.0126</v>
      </c>
      <c r="P77" s="52">
        <f>IF(Q77="PR",J77,SUM(O78:O79))</f>
        <v>0</v>
      </c>
      <c r="Q77" s="44" t="s">
        <v>285</v>
      </c>
      <c r="R77" s="52">
        <f>IF(Q77="HS",H77,0)</f>
        <v>0</v>
      </c>
      <c r="S77" s="52">
        <f>IF(Q77="HS",I77-P77,0)</f>
        <v>0</v>
      </c>
      <c r="T77" s="52">
        <f>IF(Q77="PS",H77,0)</f>
        <v>0</v>
      </c>
      <c r="U77" s="52">
        <f>IF(Q77="PS",I77-P77,0)</f>
        <v>0</v>
      </c>
      <c r="V77" s="52">
        <f>IF(Q77="MP",H77,0)</f>
        <v>0</v>
      </c>
      <c r="W77" s="52">
        <f>IF(Q77="MP",I77-P77,0)</f>
        <v>0</v>
      </c>
      <c r="X77" s="52">
        <f>IF(Q77="OM",H77,0)</f>
        <v>0</v>
      </c>
      <c r="Y77" s="44"/>
      <c r="AI77" s="52">
        <f>SUM(Z78:Z79)</f>
        <v>0</v>
      </c>
      <c r="AJ77" s="52">
        <f>SUM(AA78:AA79)</f>
        <v>0</v>
      </c>
      <c r="AK77" s="52">
        <f>SUM(AB78:AB79)</f>
        <v>0</v>
      </c>
    </row>
    <row r="78" spans="1:32" ht="12.75">
      <c r="A78" s="9" t="s">
        <v>59</v>
      </c>
      <c r="B78" s="9"/>
      <c r="C78" s="9" t="s">
        <v>139</v>
      </c>
      <c r="D78" s="9" t="s">
        <v>232</v>
      </c>
      <c r="E78" s="9" t="s">
        <v>259</v>
      </c>
      <c r="F78" s="30">
        <v>35</v>
      </c>
      <c r="H78" s="30">
        <f>ROUND(F78*AE78,2)</f>
        <v>0</v>
      </c>
      <c r="I78" s="30">
        <f>J78-H78</f>
        <v>0</v>
      </c>
      <c r="J78" s="30">
        <f>ROUND(F78*G78,2)</f>
        <v>0</v>
      </c>
      <c r="K78" s="30">
        <v>0.00029</v>
      </c>
      <c r="L78" s="30">
        <f>F78*K78</f>
        <v>0.01015</v>
      </c>
      <c r="N78" s="50" t="s">
        <v>7</v>
      </c>
      <c r="O78" s="30">
        <f>IF(N78="5",I78,0)</f>
        <v>0</v>
      </c>
      <c r="Z78" s="30">
        <f>IF(AD78=0,J78,0)</f>
        <v>0</v>
      </c>
      <c r="AA78" s="30">
        <f>IF(AD78=14,J78,0)</f>
        <v>0</v>
      </c>
      <c r="AB78" s="30">
        <f>IF(AD78=20,J78,0)</f>
        <v>0</v>
      </c>
      <c r="AD78" s="30">
        <v>20</v>
      </c>
      <c r="AE78" s="30">
        <f>G78*0.242874845105328</f>
        <v>0</v>
      </c>
      <c r="AF78" s="30">
        <f>G78*(1-0.242874845105328)</f>
        <v>0</v>
      </c>
    </row>
    <row r="79" spans="1:32" ht="12.75">
      <c r="A79" s="9" t="s">
        <v>60</v>
      </c>
      <c r="B79" s="9"/>
      <c r="C79" s="9" t="s">
        <v>140</v>
      </c>
      <c r="D79" s="9" t="s">
        <v>233</v>
      </c>
      <c r="E79" s="9" t="s">
        <v>259</v>
      </c>
      <c r="F79" s="30">
        <v>35</v>
      </c>
      <c r="H79" s="30">
        <f>ROUND(F79*AE79,2)</f>
        <v>0</v>
      </c>
      <c r="I79" s="30">
        <f>J79-H79</f>
        <v>0</v>
      </c>
      <c r="J79" s="30">
        <f>ROUND(F79*G79,2)</f>
        <v>0</v>
      </c>
      <c r="K79" s="30">
        <v>7E-05</v>
      </c>
      <c r="L79" s="30">
        <f>F79*K79</f>
        <v>0.00245</v>
      </c>
      <c r="N79" s="50" t="s">
        <v>7</v>
      </c>
      <c r="O79" s="30">
        <f>IF(N79="5",I79,0)</f>
        <v>0</v>
      </c>
      <c r="Z79" s="30">
        <f>IF(AD79=0,J79,0)</f>
        <v>0</v>
      </c>
      <c r="AA79" s="30">
        <f>IF(AD79=14,J79,0)</f>
        <v>0</v>
      </c>
      <c r="AB79" s="30">
        <f>IF(AD79=20,J79,0)</f>
        <v>0</v>
      </c>
      <c r="AD79" s="30">
        <v>20</v>
      </c>
      <c r="AE79" s="30">
        <f>G79*0.267669172932331</f>
        <v>0</v>
      </c>
      <c r="AF79" s="30">
        <f>G79*(1-0.267669172932331)</f>
        <v>0</v>
      </c>
    </row>
    <row r="80" spans="1:37" ht="12.75">
      <c r="A80" s="10"/>
      <c r="B80" s="10"/>
      <c r="C80" s="20" t="s">
        <v>141</v>
      </c>
      <c r="D80" s="25" t="s">
        <v>234</v>
      </c>
      <c r="E80" s="28"/>
      <c r="F80" s="28"/>
      <c r="G80" s="28"/>
      <c r="H80" s="52">
        <f>SUM(H81:H87)</f>
        <v>0</v>
      </c>
      <c r="I80" s="52">
        <f>SUM(I81:I87)</f>
        <v>0</v>
      </c>
      <c r="J80" s="52">
        <f>H80+I80</f>
        <v>0</v>
      </c>
      <c r="K80" s="44"/>
      <c r="L80" s="52">
        <f>SUM(L81:L87)</f>
        <v>2.45712</v>
      </c>
      <c r="P80" s="52">
        <f>IF(Q80="PR",J80,SUM(O81:O87))</f>
        <v>0</v>
      </c>
      <c r="Q80" s="44" t="s">
        <v>284</v>
      </c>
      <c r="R80" s="52">
        <f>IF(Q80="HS",H80,0)</f>
        <v>0</v>
      </c>
      <c r="S80" s="52">
        <f>IF(Q80="HS",I80-P80,0)</f>
        <v>0</v>
      </c>
      <c r="T80" s="52">
        <f>IF(Q80="PS",H80,0)</f>
        <v>0</v>
      </c>
      <c r="U80" s="52">
        <f>IF(Q80="PS",I80-P80,0)</f>
        <v>0</v>
      </c>
      <c r="V80" s="52">
        <f>IF(Q80="MP",H80,0)</f>
        <v>0</v>
      </c>
      <c r="W80" s="52">
        <f>IF(Q80="MP",I80-P80,0)</f>
        <v>0</v>
      </c>
      <c r="X80" s="52">
        <f>IF(Q80="OM",H80,0)</f>
        <v>0</v>
      </c>
      <c r="Y80" s="44"/>
      <c r="AI80" s="52">
        <f>SUM(Z81:Z87)</f>
        <v>0</v>
      </c>
      <c r="AJ80" s="52">
        <f>SUM(AA81:AA87)</f>
        <v>0</v>
      </c>
      <c r="AK80" s="52">
        <f>SUM(AB81:AB87)</f>
        <v>0</v>
      </c>
    </row>
    <row r="81" spans="1:32" ht="12.75">
      <c r="A81" s="9" t="s">
        <v>61</v>
      </c>
      <c r="B81" s="9"/>
      <c r="C81" s="9" t="s">
        <v>142</v>
      </c>
      <c r="D81" s="9" t="s">
        <v>235</v>
      </c>
      <c r="E81" s="9" t="s">
        <v>260</v>
      </c>
      <c r="F81" s="30">
        <v>6</v>
      </c>
      <c r="H81" s="30">
        <f aca="true" t="shared" si="26" ref="H81:H87">ROUND(F81*AE81,2)</f>
        <v>0</v>
      </c>
      <c r="I81" s="30">
        <f aca="true" t="shared" si="27" ref="I81:I87">J81-H81</f>
        <v>0</v>
      </c>
      <c r="J81" s="30">
        <f aca="true" t="shared" si="28" ref="J81:J87">ROUND(F81*G81,2)</f>
        <v>0</v>
      </c>
      <c r="K81" s="30">
        <v>0.037</v>
      </c>
      <c r="L81" s="30">
        <f aca="true" t="shared" si="29" ref="L81:L87">F81*K81</f>
        <v>0.22199999999999998</v>
      </c>
      <c r="N81" s="50" t="s">
        <v>7</v>
      </c>
      <c r="O81" s="30">
        <f aca="true" t="shared" si="30" ref="O81:O87">IF(N81="5",I81,0)</f>
        <v>0</v>
      </c>
      <c r="Z81" s="30">
        <f aca="true" t="shared" si="31" ref="Z81:Z87">IF(AD81=0,J81,0)</f>
        <v>0</v>
      </c>
      <c r="AA81" s="30">
        <f aca="true" t="shared" si="32" ref="AA81:AA87">IF(AD81=14,J81,0)</f>
        <v>0</v>
      </c>
      <c r="AB81" s="30">
        <f aca="true" t="shared" si="33" ref="AB81:AB87">IF(AD81=20,J81,0)</f>
        <v>0</v>
      </c>
      <c r="AD81" s="30">
        <v>20</v>
      </c>
      <c r="AE81" s="30">
        <f>G81*0.108099308099308</f>
        <v>0</v>
      </c>
      <c r="AF81" s="30">
        <f>G81*(1-0.108099308099308)</f>
        <v>0</v>
      </c>
    </row>
    <row r="82" spans="1:32" ht="12.75">
      <c r="A82" s="9" t="s">
        <v>62</v>
      </c>
      <c r="B82" s="9"/>
      <c r="C82" s="9" t="s">
        <v>143</v>
      </c>
      <c r="D82" s="9" t="s">
        <v>236</v>
      </c>
      <c r="E82" s="9" t="s">
        <v>260</v>
      </c>
      <c r="F82" s="30">
        <v>10</v>
      </c>
      <c r="H82" s="30">
        <f t="shared" si="26"/>
        <v>0</v>
      </c>
      <c r="I82" s="30">
        <f t="shared" si="27"/>
        <v>0</v>
      </c>
      <c r="J82" s="30">
        <f t="shared" si="28"/>
        <v>0</v>
      </c>
      <c r="K82" s="30">
        <v>0.013</v>
      </c>
      <c r="L82" s="30">
        <f t="shared" si="29"/>
        <v>0.13</v>
      </c>
      <c r="N82" s="50" t="s">
        <v>7</v>
      </c>
      <c r="O82" s="30">
        <f t="shared" si="30"/>
        <v>0</v>
      </c>
      <c r="Z82" s="30">
        <f t="shared" si="31"/>
        <v>0</v>
      </c>
      <c r="AA82" s="30">
        <f t="shared" si="32"/>
        <v>0</v>
      </c>
      <c r="AB82" s="30">
        <f t="shared" si="33"/>
        <v>0</v>
      </c>
      <c r="AD82" s="30">
        <v>20</v>
      </c>
      <c r="AE82" s="30">
        <f>G82*0.263285024154589</f>
        <v>0</v>
      </c>
      <c r="AF82" s="30">
        <f>G82*(1-0.263285024154589)</f>
        <v>0</v>
      </c>
    </row>
    <row r="83" spans="1:32" ht="12.75">
      <c r="A83" s="9" t="s">
        <v>63</v>
      </c>
      <c r="B83" s="9"/>
      <c r="C83" s="9" t="s">
        <v>144</v>
      </c>
      <c r="D83" s="9" t="s">
        <v>237</v>
      </c>
      <c r="E83" s="9" t="s">
        <v>259</v>
      </c>
      <c r="F83" s="30">
        <v>3.2</v>
      </c>
      <c r="H83" s="30">
        <f t="shared" si="26"/>
        <v>0</v>
      </c>
      <c r="I83" s="30">
        <f t="shared" si="27"/>
        <v>0</v>
      </c>
      <c r="J83" s="30">
        <f t="shared" si="28"/>
        <v>0</v>
      </c>
      <c r="K83" s="30">
        <v>0.076</v>
      </c>
      <c r="L83" s="30">
        <f t="shared" si="29"/>
        <v>0.2432</v>
      </c>
      <c r="N83" s="50" t="s">
        <v>7</v>
      </c>
      <c r="O83" s="30">
        <f t="shared" si="30"/>
        <v>0</v>
      </c>
      <c r="Z83" s="30">
        <f t="shared" si="31"/>
        <v>0</v>
      </c>
      <c r="AA83" s="30">
        <f t="shared" si="32"/>
        <v>0</v>
      </c>
      <c r="AB83" s="30">
        <f t="shared" si="33"/>
        <v>0</v>
      </c>
      <c r="AD83" s="30">
        <v>20</v>
      </c>
      <c r="AE83" s="30">
        <f>G83*0.102619581176107</f>
        <v>0</v>
      </c>
      <c r="AF83" s="30">
        <f>G83*(1-0.102619581176107)</f>
        <v>0</v>
      </c>
    </row>
    <row r="84" spans="1:32" ht="12.75">
      <c r="A84" s="9" t="s">
        <v>64</v>
      </c>
      <c r="B84" s="9"/>
      <c r="C84" s="9" t="s">
        <v>145</v>
      </c>
      <c r="D84" s="9" t="s">
        <v>238</v>
      </c>
      <c r="E84" s="9" t="s">
        <v>259</v>
      </c>
      <c r="F84" s="30">
        <v>2.16</v>
      </c>
      <c r="H84" s="30">
        <f t="shared" si="26"/>
        <v>0</v>
      </c>
      <c r="I84" s="30">
        <f t="shared" si="27"/>
        <v>0</v>
      </c>
      <c r="J84" s="30">
        <f t="shared" si="28"/>
        <v>0</v>
      </c>
      <c r="K84" s="30">
        <v>0.062</v>
      </c>
      <c r="L84" s="30">
        <f t="shared" si="29"/>
        <v>0.13392</v>
      </c>
      <c r="N84" s="50" t="s">
        <v>7</v>
      </c>
      <c r="O84" s="30">
        <f t="shared" si="30"/>
        <v>0</v>
      </c>
      <c r="Z84" s="30">
        <f t="shared" si="31"/>
        <v>0</v>
      </c>
      <c r="AA84" s="30">
        <f t="shared" si="32"/>
        <v>0</v>
      </c>
      <c r="AB84" s="30">
        <f t="shared" si="33"/>
        <v>0</v>
      </c>
      <c r="AD84" s="30">
        <v>20</v>
      </c>
      <c r="AE84" s="30">
        <f>G84*0.130457261029412</f>
        <v>0</v>
      </c>
      <c r="AF84" s="30">
        <f>G84*(1-0.130457261029412)</f>
        <v>0</v>
      </c>
    </row>
    <row r="85" spans="1:32" ht="12.75">
      <c r="A85" s="9" t="s">
        <v>65</v>
      </c>
      <c r="B85" s="9"/>
      <c r="C85" s="9" t="s">
        <v>146</v>
      </c>
      <c r="D85" s="9" t="s">
        <v>239</v>
      </c>
      <c r="E85" s="9" t="s">
        <v>262</v>
      </c>
      <c r="F85" s="30">
        <v>2</v>
      </c>
      <c r="H85" s="30">
        <f t="shared" si="26"/>
        <v>0</v>
      </c>
      <c r="I85" s="30">
        <f t="shared" si="27"/>
        <v>0</v>
      </c>
      <c r="J85" s="30">
        <f t="shared" si="28"/>
        <v>0</v>
      </c>
      <c r="K85" s="30">
        <v>0</v>
      </c>
      <c r="L85" s="30">
        <f t="shared" si="29"/>
        <v>0</v>
      </c>
      <c r="N85" s="50" t="s">
        <v>7</v>
      </c>
      <c r="O85" s="30">
        <f t="shared" si="30"/>
        <v>0</v>
      </c>
      <c r="Z85" s="30">
        <f t="shared" si="31"/>
        <v>0</v>
      </c>
      <c r="AA85" s="30">
        <f t="shared" si="32"/>
        <v>0</v>
      </c>
      <c r="AB85" s="30">
        <f t="shared" si="33"/>
        <v>0</v>
      </c>
      <c r="AD85" s="30">
        <v>20</v>
      </c>
      <c r="AE85" s="30">
        <f>G85*0</f>
        <v>0</v>
      </c>
      <c r="AF85" s="30">
        <f>G85*(1-0)</f>
        <v>0</v>
      </c>
    </row>
    <row r="86" spans="1:32" ht="12.75">
      <c r="A86" s="9" t="s">
        <v>66</v>
      </c>
      <c r="B86" s="9"/>
      <c r="C86" s="9" t="s">
        <v>147</v>
      </c>
      <c r="D86" s="9" t="s">
        <v>240</v>
      </c>
      <c r="E86" s="9" t="s">
        <v>259</v>
      </c>
      <c r="F86" s="30">
        <v>25.9</v>
      </c>
      <c r="H86" s="30">
        <f t="shared" si="26"/>
        <v>0</v>
      </c>
      <c r="I86" s="30">
        <f t="shared" si="27"/>
        <v>0</v>
      </c>
      <c r="J86" s="30">
        <f t="shared" si="28"/>
        <v>0</v>
      </c>
      <c r="K86" s="30">
        <v>0.02</v>
      </c>
      <c r="L86" s="30">
        <f t="shared" si="29"/>
        <v>0.518</v>
      </c>
      <c r="N86" s="50" t="s">
        <v>7</v>
      </c>
      <c r="O86" s="30">
        <f t="shared" si="30"/>
        <v>0</v>
      </c>
      <c r="Z86" s="30">
        <f t="shared" si="31"/>
        <v>0</v>
      </c>
      <c r="AA86" s="30">
        <f t="shared" si="32"/>
        <v>0</v>
      </c>
      <c r="AB86" s="30">
        <f t="shared" si="33"/>
        <v>0</v>
      </c>
      <c r="AD86" s="30">
        <v>20</v>
      </c>
      <c r="AE86" s="30">
        <f>G86*0</f>
        <v>0</v>
      </c>
      <c r="AF86" s="30">
        <f>G86*(1-0)</f>
        <v>0</v>
      </c>
    </row>
    <row r="87" spans="1:32" ht="12.75">
      <c r="A87" s="9" t="s">
        <v>67</v>
      </c>
      <c r="B87" s="9"/>
      <c r="C87" s="9" t="s">
        <v>148</v>
      </c>
      <c r="D87" s="9" t="s">
        <v>241</v>
      </c>
      <c r="E87" s="9" t="s">
        <v>261</v>
      </c>
      <c r="F87" s="30">
        <v>0.55</v>
      </c>
      <c r="H87" s="30">
        <f t="shared" si="26"/>
        <v>0</v>
      </c>
      <c r="I87" s="30">
        <f t="shared" si="27"/>
        <v>0</v>
      </c>
      <c r="J87" s="30">
        <f t="shared" si="28"/>
        <v>0</v>
      </c>
      <c r="K87" s="30">
        <v>2.2</v>
      </c>
      <c r="L87" s="30">
        <f t="shared" si="29"/>
        <v>1.2100000000000002</v>
      </c>
      <c r="N87" s="50" t="s">
        <v>7</v>
      </c>
      <c r="O87" s="30">
        <f t="shared" si="30"/>
        <v>0</v>
      </c>
      <c r="Z87" s="30">
        <f t="shared" si="31"/>
        <v>0</v>
      </c>
      <c r="AA87" s="30">
        <f t="shared" si="32"/>
        <v>0</v>
      </c>
      <c r="AB87" s="30">
        <f t="shared" si="33"/>
        <v>0</v>
      </c>
      <c r="AD87" s="30">
        <v>20</v>
      </c>
      <c r="AE87" s="30">
        <f>G87*0</f>
        <v>0</v>
      </c>
      <c r="AF87" s="30">
        <f>G87*(1-0)</f>
        <v>0</v>
      </c>
    </row>
    <row r="88" spans="1:37" ht="12.75">
      <c r="A88" s="10"/>
      <c r="B88" s="10"/>
      <c r="C88" s="20" t="s">
        <v>149</v>
      </c>
      <c r="D88" s="25" t="s">
        <v>242</v>
      </c>
      <c r="E88" s="28"/>
      <c r="F88" s="28"/>
      <c r="G88" s="28"/>
      <c r="H88" s="52">
        <f>SUM(H89:H92)</f>
        <v>0</v>
      </c>
      <c r="I88" s="52">
        <f>SUM(I89:I92)</f>
        <v>0</v>
      </c>
      <c r="J88" s="52">
        <f>H88+I88</f>
        <v>0</v>
      </c>
      <c r="K88" s="44"/>
      <c r="L88" s="52">
        <f>SUM(L89:L92)</f>
        <v>1.9440000000000002</v>
      </c>
      <c r="P88" s="52">
        <f>IF(Q88="PR",J88,SUM(O89:O92))</f>
        <v>0</v>
      </c>
      <c r="Q88" s="44" t="s">
        <v>284</v>
      </c>
      <c r="R88" s="52">
        <f>IF(Q88="HS",H88,0)</f>
        <v>0</v>
      </c>
      <c r="S88" s="52">
        <f>IF(Q88="HS",I88-P88,0)</f>
        <v>0</v>
      </c>
      <c r="T88" s="52">
        <f>IF(Q88="PS",H88,0)</f>
        <v>0</v>
      </c>
      <c r="U88" s="52">
        <f>IF(Q88="PS",I88-P88,0)</f>
        <v>0</v>
      </c>
      <c r="V88" s="52">
        <f>IF(Q88="MP",H88,0)</f>
        <v>0</v>
      </c>
      <c r="W88" s="52">
        <f>IF(Q88="MP",I88-P88,0)</f>
        <v>0</v>
      </c>
      <c r="X88" s="52">
        <f>IF(Q88="OM",H88,0)</f>
        <v>0</v>
      </c>
      <c r="Y88" s="44"/>
      <c r="AI88" s="52">
        <f>SUM(Z89:Z92)</f>
        <v>0</v>
      </c>
      <c r="AJ88" s="52">
        <f>SUM(AA89:AA92)</f>
        <v>0</v>
      </c>
      <c r="AK88" s="52">
        <f>SUM(AB89:AB92)</f>
        <v>0</v>
      </c>
    </row>
    <row r="89" spans="1:32" ht="12.75">
      <c r="A89" s="9" t="s">
        <v>68</v>
      </c>
      <c r="B89" s="9"/>
      <c r="C89" s="9" t="s">
        <v>150</v>
      </c>
      <c r="D89" s="9" t="s">
        <v>243</v>
      </c>
      <c r="E89" s="9" t="s">
        <v>259</v>
      </c>
      <c r="F89" s="30">
        <v>26</v>
      </c>
      <c r="H89" s="30">
        <f>ROUND(F89*AE89,2)</f>
        <v>0</v>
      </c>
      <c r="I89" s="30">
        <f>J89-H89</f>
        <v>0</v>
      </c>
      <c r="J89" s="30">
        <f>ROUND(F89*G89,2)</f>
        <v>0</v>
      </c>
      <c r="K89" s="30">
        <v>0.068</v>
      </c>
      <c r="L89" s="30">
        <f>F89*K89</f>
        <v>1.7680000000000002</v>
      </c>
      <c r="N89" s="50" t="s">
        <v>7</v>
      </c>
      <c r="O89" s="30">
        <f>IF(N89="5",I89,0)</f>
        <v>0</v>
      </c>
      <c r="Z89" s="30">
        <f>IF(AD89=0,J89,0)</f>
        <v>0</v>
      </c>
      <c r="AA89" s="30">
        <f>IF(AD89=14,J89,0)</f>
        <v>0</v>
      </c>
      <c r="AB89" s="30">
        <f>IF(AD89=20,J89,0)</f>
        <v>0</v>
      </c>
      <c r="AD89" s="30">
        <v>20</v>
      </c>
      <c r="AE89" s="30">
        <f>G89*0</f>
        <v>0</v>
      </c>
      <c r="AF89" s="30">
        <f>G89*(1-0)</f>
        <v>0</v>
      </c>
    </row>
    <row r="90" spans="1:32" ht="12.75">
      <c r="A90" s="9" t="s">
        <v>69</v>
      </c>
      <c r="B90" s="9"/>
      <c r="C90" s="9" t="s">
        <v>151</v>
      </c>
      <c r="D90" s="9" t="s">
        <v>244</v>
      </c>
      <c r="E90" s="9" t="s">
        <v>262</v>
      </c>
      <c r="F90" s="30">
        <v>2</v>
      </c>
      <c r="H90" s="30">
        <f>ROUND(F90*AE90,2)</f>
        <v>0</v>
      </c>
      <c r="I90" s="30">
        <f>J90-H90</f>
        <v>0</v>
      </c>
      <c r="J90" s="30">
        <f>ROUND(F90*G90,2)</f>
        <v>0</v>
      </c>
      <c r="K90" s="30">
        <v>0.012</v>
      </c>
      <c r="L90" s="30">
        <f>F90*K90</f>
        <v>0.024</v>
      </c>
      <c r="N90" s="50" t="s">
        <v>7</v>
      </c>
      <c r="O90" s="30">
        <f>IF(N90="5",I90,0)</f>
        <v>0</v>
      </c>
      <c r="Z90" s="30">
        <f>IF(AD90=0,J90,0)</f>
        <v>0</v>
      </c>
      <c r="AA90" s="30">
        <f>IF(AD90=14,J90,0)</f>
        <v>0</v>
      </c>
      <c r="AB90" s="30">
        <f>IF(AD90=20,J90,0)</f>
        <v>0</v>
      </c>
      <c r="AD90" s="30">
        <v>20</v>
      </c>
      <c r="AE90" s="30">
        <f>G90*0.0662719298245614</f>
        <v>0</v>
      </c>
      <c r="AF90" s="30">
        <f>G90*(1-0.0662719298245614)</f>
        <v>0</v>
      </c>
    </row>
    <row r="91" spans="1:32" ht="12.75">
      <c r="A91" s="9" t="s">
        <v>70</v>
      </c>
      <c r="B91" s="9"/>
      <c r="C91" s="9" t="s">
        <v>152</v>
      </c>
      <c r="D91" s="9" t="s">
        <v>245</v>
      </c>
      <c r="E91" s="9" t="s">
        <v>260</v>
      </c>
      <c r="F91" s="30">
        <v>8</v>
      </c>
      <c r="H91" s="30">
        <f>ROUND(F91*AE91,2)</f>
        <v>0</v>
      </c>
      <c r="I91" s="30">
        <f>J91-H91</f>
        <v>0</v>
      </c>
      <c r="J91" s="30">
        <f>ROUND(F91*G91,2)</f>
        <v>0</v>
      </c>
      <c r="K91" s="30">
        <v>0.018</v>
      </c>
      <c r="L91" s="30">
        <f>F91*K91</f>
        <v>0.144</v>
      </c>
      <c r="N91" s="50" t="s">
        <v>7</v>
      </c>
      <c r="O91" s="30">
        <f>IF(N91="5",I91,0)</f>
        <v>0</v>
      </c>
      <c r="Z91" s="30">
        <f>IF(AD91=0,J91,0)</f>
        <v>0</v>
      </c>
      <c r="AA91" s="30">
        <f>IF(AD91=14,J91,0)</f>
        <v>0</v>
      </c>
      <c r="AB91" s="30">
        <f>IF(AD91=20,J91,0)</f>
        <v>0</v>
      </c>
      <c r="AD91" s="30">
        <v>20</v>
      </c>
      <c r="AE91" s="30">
        <f>G91*0.127878996218632</f>
        <v>0</v>
      </c>
      <c r="AF91" s="30">
        <f>G91*(1-0.127878996218632)</f>
        <v>0</v>
      </c>
    </row>
    <row r="92" spans="1:32" ht="12.75">
      <c r="A92" s="9" t="s">
        <v>71</v>
      </c>
      <c r="B92" s="9"/>
      <c r="C92" s="9" t="s">
        <v>153</v>
      </c>
      <c r="D92" s="9" t="s">
        <v>246</v>
      </c>
      <c r="E92" s="9" t="s">
        <v>262</v>
      </c>
      <c r="F92" s="30">
        <v>1</v>
      </c>
      <c r="H92" s="30">
        <f>ROUND(F92*AE92,2)</f>
        <v>0</v>
      </c>
      <c r="I92" s="30">
        <f>J92-H92</f>
        <v>0</v>
      </c>
      <c r="J92" s="30">
        <f>ROUND(F92*G92,2)</f>
        <v>0</v>
      </c>
      <c r="K92" s="30">
        <v>0.008</v>
      </c>
      <c r="L92" s="30">
        <f>F92*K92</f>
        <v>0.008</v>
      </c>
      <c r="N92" s="50" t="s">
        <v>7</v>
      </c>
      <c r="O92" s="30">
        <f>IF(N92="5",I92,0)</f>
        <v>0</v>
      </c>
      <c r="Z92" s="30">
        <f>IF(AD92=0,J92,0)</f>
        <v>0</v>
      </c>
      <c r="AA92" s="30">
        <f>IF(AD92=14,J92,0)</f>
        <v>0</v>
      </c>
      <c r="AB92" s="30">
        <f>IF(AD92=20,J92,0)</f>
        <v>0</v>
      </c>
      <c r="AD92" s="30">
        <v>20</v>
      </c>
      <c r="AE92" s="30">
        <f>G92*0</f>
        <v>0</v>
      </c>
      <c r="AF92" s="30">
        <f>G92*(1-0)</f>
        <v>0</v>
      </c>
    </row>
    <row r="93" spans="1:37" ht="12.75">
      <c r="A93" s="10"/>
      <c r="B93" s="10"/>
      <c r="C93" s="20" t="s">
        <v>154</v>
      </c>
      <c r="D93" s="25" t="s">
        <v>247</v>
      </c>
      <c r="E93" s="28"/>
      <c r="F93" s="28"/>
      <c r="G93" s="28"/>
      <c r="H93" s="52">
        <f>SUM(H94:H97)</f>
        <v>0</v>
      </c>
      <c r="I93" s="52">
        <f>SUM(I94:I97)</f>
        <v>0</v>
      </c>
      <c r="J93" s="52">
        <f>H93+I93</f>
        <v>0</v>
      </c>
      <c r="K93" s="44"/>
      <c r="L93" s="52">
        <f>SUM(L94:L97)</f>
        <v>0</v>
      </c>
      <c r="P93" s="52">
        <f>IF(Q93="PR",J93,SUM(O94:O97))</f>
        <v>0</v>
      </c>
      <c r="Q93" s="44" t="s">
        <v>286</v>
      </c>
      <c r="R93" s="52">
        <f>IF(Q93="HS",H93,0)</f>
        <v>0</v>
      </c>
      <c r="S93" s="52">
        <f>IF(Q93="HS",I93-P93,0)</f>
        <v>0</v>
      </c>
      <c r="T93" s="52">
        <f>IF(Q93="PS",H93,0)</f>
        <v>0</v>
      </c>
      <c r="U93" s="52">
        <f>IF(Q93="PS",I93-P93,0)</f>
        <v>0</v>
      </c>
      <c r="V93" s="52">
        <f>IF(Q93="MP",H93,0)</f>
        <v>0</v>
      </c>
      <c r="W93" s="52">
        <f>IF(Q93="MP",I93-P93,0)</f>
        <v>0</v>
      </c>
      <c r="X93" s="52">
        <f>IF(Q93="OM",H93,0)</f>
        <v>0</v>
      </c>
      <c r="Y93" s="44"/>
      <c r="AI93" s="52">
        <f>SUM(Z94:Z97)</f>
        <v>0</v>
      </c>
      <c r="AJ93" s="52">
        <f>SUM(AA94:AA97)</f>
        <v>0</v>
      </c>
      <c r="AK93" s="52">
        <f>SUM(AB94:AB97)</f>
        <v>0</v>
      </c>
    </row>
    <row r="94" spans="1:32" ht="12.75">
      <c r="A94" s="9" t="s">
        <v>72</v>
      </c>
      <c r="B94" s="9"/>
      <c r="C94" s="9" t="s">
        <v>155</v>
      </c>
      <c r="D94" s="9" t="s">
        <v>248</v>
      </c>
      <c r="E94" s="9" t="s">
        <v>264</v>
      </c>
      <c r="F94" s="30">
        <v>12.354</v>
      </c>
      <c r="H94" s="30">
        <f>ROUND(F94*AE94,2)</f>
        <v>0</v>
      </c>
      <c r="I94" s="30">
        <f>J94-H94</f>
        <v>0</v>
      </c>
      <c r="J94" s="30">
        <f>ROUND(F94*G94,2)</f>
        <v>0</v>
      </c>
      <c r="K94" s="30">
        <v>0</v>
      </c>
      <c r="L94" s="30">
        <f>F94*K94</f>
        <v>0</v>
      </c>
      <c r="N94" s="50" t="s">
        <v>11</v>
      </c>
      <c r="O94" s="30">
        <f>IF(N94="5",I94,0)</f>
        <v>0</v>
      </c>
      <c r="Z94" s="30">
        <f>IF(AD94=0,J94,0)</f>
        <v>0</v>
      </c>
      <c r="AA94" s="30">
        <f>IF(AD94=14,J94,0)</f>
        <v>0</v>
      </c>
      <c r="AB94" s="30">
        <f>IF(AD94=20,J94,0)</f>
        <v>0</v>
      </c>
      <c r="AD94" s="30">
        <v>20</v>
      </c>
      <c r="AE94" s="30">
        <f>G94*0</f>
        <v>0</v>
      </c>
      <c r="AF94" s="30">
        <f>G94*(1-0)</f>
        <v>0</v>
      </c>
    </row>
    <row r="95" spans="1:32" ht="12.75">
      <c r="A95" s="9" t="s">
        <v>73</v>
      </c>
      <c r="B95" s="9"/>
      <c r="C95" s="9" t="s">
        <v>156</v>
      </c>
      <c r="D95" s="9" t="s">
        <v>249</v>
      </c>
      <c r="E95" s="9" t="s">
        <v>264</v>
      </c>
      <c r="F95" s="30">
        <v>123.54</v>
      </c>
      <c r="H95" s="30">
        <f>ROUND(F95*AE95,2)</f>
        <v>0</v>
      </c>
      <c r="I95" s="30">
        <f>J95-H95</f>
        <v>0</v>
      </c>
      <c r="J95" s="30">
        <f>ROUND(F95*G95,2)</f>
        <v>0</v>
      </c>
      <c r="K95" s="30">
        <v>0</v>
      </c>
      <c r="L95" s="30">
        <f>F95*K95</f>
        <v>0</v>
      </c>
      <c r="N95" s="50" t="s">
        <v>11</v>
      </c>
      <c r="O95" s="30">
        <f>IF(N95="5",I95,0)</f>
        <v>0</v>
      </c>
      <c r="Z95" s="30">
        <f>IF(AD95=0,J95,0)</f>
        <v>0</v>
      </c>
      <c r="AA95" s="30">
        <f>IF(AD95=14,J95,0)</f>
        <v>0</v>
      </c>
      <c r="AB95" s="30">
        <f>IF(AD95=20,J95,0)</f>
        <v>0</v>
      </c>
      <c r="AD95" s="30">
        <v>20</v>
      </c>
      <c r="AE95" s="30">
        <f>G95*0</f>
        <v>0</v>
      </c>
      <c r="AF95" s="30">
        <f>G95*(1-0)</f>
        <v>0</v>
      </c>
    </row>
    <row r="96" spans="1:32" ht="12.75">
      <c r="A96" s="9" t="s">
        <v>74</v>
      </c>
      <c r="B96" s="9"/>
      <c r="C96" s="9" t="s">
        <v>157</v>
      </c>
      <c r="D96" s="9" t="s">
        <v>250</v>
      </c>
      <c r="E96" s="9" t="s">
        <v>264</v>
      </c>
      <c r="F96" s="30">
        <v>12.354</v>
      </c>
      <c r="H96" s="30">
        <f>ROUND(F96*AE96,2)</f>
        <v>0</v>
      </c>
      <c r="I96" s="30">
        <f>J96-H96</f>
        <v>0</v>
      </c>
      <c r="J96" s="30">
        <f>ROUND(F96*G96,2)</f>
        <v>0</v>
      </c>
      <c r="K96" s="30">
        <v>0</v>
      </c>
      <c r="L96" s="30">
        <f>F96*K96</f>
        <v>0</v>
      </c>
      <c r="N96" s="50" t="s">
        <v>11</v>
      </c>
      <c r="O96" s="30">
        <f>IF(N96="5",I96,0)</f>
        <v>0</v>
      </c>
      <c r="Z96" s="30">
        <f>IF(AD96=0,J96,0)</f>
        <v>0</v>
      </c>
      <c r="AA96" s="30">
        <f>IF(AD96=14,J96,0)</f>
        <v>0</v>
      </c>
      <c r="AB96" s="30">
        <f>IF(AD96=20,J96,0)</f>
        <v>0</v>
      </c>
      <c r="AD96" s="30">
        <v>20</v>
      </c>
      <c r="AE96" s="30">
        <f>G96*0.00779697754229635</f>
        <v>0</v>
      </c>
      <c r="AF96" s="30">
        <f>G96*(1-0.00779697754229635)</f>
        <v>0</v>
      </c>
    </row>
    <row r="97" spans="1:32" ht="12.75">
      <c r="A97" s="9" t="s">
        <v>75</v>
      </c>
      <c r="B97" s="9"/>
      <c r="C97" s="9" t="s">
        <v>158</v>
      </c>
      <c r="D97" s="9" t="s">
        <v>251</v>
      </c>
      <c r="E97" s="9" t="s">
        <v>264</v>
      </c>
      <c r="F97" s="30">
        <v>12.354</v>
      </c>
      <c r="H97" s="30">
        <f>ROUND(F97*AE97,2)</f>
        <v>0</v>
      </c>
      <c r="I97" s="30">
        <f>J97-H97</f>
        <v>0</v>
      </c>
      <c r="J97" s="30">
        <f>ROUND(F97*G97,2)</f>
        <v>0</v>
      </c>
      <c r="K97" s="30">
        <v>0</v>
      </c>
      <c r="L97" s="30">
        <f>F97*K97</f>
        <v>0</v>
      </c>
      <c r="N97" s="50" t="s">
        <v>7</v>
      </c>
      <c r="O97" s="30">
        <f>IF(N97="5",I97,0)</f>
        <v>0</v>
      </c>
      <c r="Z97" s="30">
        <f>IF(AD97=0,J97,0)</f>
        <v>0</v>
      </c>
      <c r="AA97" s="30">
        <f>IF(AD97=14,J97,0)</f>
        <v>0</v>
      </c>
      <c r="AB97" s="30">
        <f>IF(AD97=20,J97,0)</f>
        <v>0</v>
      </c>
      <c r="AD97" s="30">
        <v>20</v>
      </c>
      <c r="AE97" s="30">
        <f>G97*0</f>
        <v>0</v>
      </c>
      <c r="AF97" s="30">
        <f>G97*(1-0)</f>
        <v>0</v>
      </c>
    </row>
    <row r="98" spans="1:37" ht="12.75">
      <c r="A98" s="10"/>
      <c r="B98" s="10"/>
      <c r="C98" s="20" t="s">
        <v>159</v>
      </c>
      <c r="D98" s="25" t="s">
        <v>252</v>
      </c>
      <c r="E98" s="28"/>
      <c r="F98" s="28"/>
      <c r="G98" s="28"/>
      <c r="H98" s="52">
        <f>SUM(H99:H99)</f>
        <v>0</v>
      </c>
      <c r="I98" s="52">
        <f>SUM(I99:I99)</f>
        <v>0</v>
      </c>
      <c r="J98" s="52">
        <f>H98+I98</f>
        <v>0</v>
      </c>
      <c r="K98" s="44"/>
      <c r="L98" s="52">
        <f>SUM(L99:L99)</f>
        <v>0</v>
      </c>
      <c r="P98" s="52">
        <f>IF(Q98="PR",J98,SUM(O99:O99))</f>
        <v>0</v>
      </c>
      <c r="Q98" s="44" t="s">
        <v>286</v>
      </c>
      <c r="R98" s="52">
        <f>IF(Q98="HS",H98,0)</f>
        <v>0</v>
      </c>
      <c r="S98" s="52">
        <f>IF(Q98="HS",I98-P98,0)</f>
        <v>0</v>
      </c>
      <c r="T98" s="52">
        <f>IF(Q98="PS",H98,0)</f>
        <v>0</v>
      </c>
      <c r="U98" s="52">
        <f>IF(Q98="PS",I98-P98,0)</f>
        <v>0</v>
      </c>
      <c r="V98" s="52">
        <f>IF(Q98="MP",H98,0)</f>
        <v>0</v>
      </c>
      <c r="W98" s="52">
        <f>IF(Q98="MP",I98-P98,0)</f>
        <v>0</v>
      </c>
      <c r="X98" s="52">
        <f>IF(Q98="OM",H98,0)</f>
        <v>0</v>
      </c>
      <c r="Y98" s="44"/>
      <c r="AI98" s="52">
        <f>SUM(Z99:Z99)</f>
        <v>0</v>
      </c>
      <c r="AJ98" s="52">
        <f>SUM(AA99:AA99)</f>
        <v>0</v>
      </c>
      <c r="AK98" s="52">
        <f>SUM(AB99:AB99)</f>
        <v>0</v>
      </c>
    </row>
    <row r="99" spans="1:32" ht="12.75">
      <c r="A99" s="11" t="s">
        <v>76</v>
      </c>
      <c r="B99" s="11"/>
      <c r="C99" s="11" t="s">
        <v>160</v>
      </c>
      <c r="D99" s="11" t="s">
        <v>253</v>
      </c>
      <c r="E99" s="11" t="s">
        <v>264</v>
      </c>
      <c r="F99" s="31">
        <v>40.173</v>
      </c>
      <c r="G99" s="35"/>
      <c r="H99" s="31">
        <f>ROUND(F99*AE99,2)</f>
        <v>0</v>
      </c>
      <c r="I99" s="31">
        <f>J99-H99</f>
        <v>0</v>
      </c>
      <c r="J99" s="31">
        <f>ROUND(F99*G99,2)</f>
        <v>0</v>
      </c>
      <c r="K99" s="31">
        <v>0</v>
      </c>
      <c r="L99" s="31">
        <f>F99*K99</f>
        <v>0</v>
      </c>
      <c r="N99" s="50" t="s">
        <v>11</v>
      </c>
      <c r="O99" s="30">
        <f>IF(N99="5",I99,0)</f>
        <v>0</v>
      </c>
      <c r="Z99" s="30">
        <f>IF(AD99=0,J99,0)</f>
        <v>0</v>
      </c>
      <c r="AA99" s="30">
        <f>IF(AD99=14,J99,0)</f>
        <v>0</v>
      </c>
      <c r="AB99" s="30">
        <f>IF(AD99=20,J99,0)</f>
        <v>0</v>
      </c>
      <c r="AD99" s="30">
        <v>20</v>
      </c>
      <c r="AE99" s="30">
        <f>G99*0</f>
        <v>0</v>
      </c>
      <c r="AF99" s="30">
        <f>G99*(1-0)</f>
        <v>0</v>
      </c>
    </row>
    <row r="100" spans="1:28" ht="12.75">
      <c r="A100" s="12"/>
      <c r="B100" s="12"/>
      <c r="C100" s="12"/>
      <c r="D100" s="12"/>
      <c r="E100" s="12"/>
      <c r="F100" s="12"/>
      <c r="G100" s="12"/>
      <c r="H100" s="21" t="s">
        <v>270</v>
      </c>
      <c r="I100" s="40"/>
      <c r="J100" s="53">
        <f>J12+J14+J17+J21+J26+J28+J36+J43+J48+J65+J68+J70+J73+J77+J80+J88+J93+J98</f>
        <v>0</v>
      </c>
      <c r="K100" s="12"/>
      <c r="L100" s="12"/>
      <c r="Z100" s="54">
        <f>SUM(Z13:Z99)</f>
        <v>0</v>
      </c>
      <c r="AA100" s="54">
        <f>SUM(AA13:AA99)</f>
        <v>0</v>
      </c>
      <c r="AB100" s="54">
        <f>SUM(AB13:AB99)</f>
        <v>0</v>
      </c>
    </row>
  </sheetData>
  <sheetProtection/>
  <mergeCells count="46">
    <mergeCell ref="D93:G93"/>
    <mergeCell ref="D98:G98"/>
    <mergeCell ref="H100:I100"/>
    <mergeCell ref="D68:G68"/>
    <mergeCell ref="D70:G70"/>
    <mergeCell ref="D73:G73"/>
    <mergeCell ref="D77:G77"/>
    <mergeCell ref="D80:G80"/>
    <mergeCell ref="D88:G88"/>
    <mergeCell ref="D26:G26"/>
    <mergeCell ref="D28:G28"/>
    <mergeCell ref="D36:G36"/>
    <mergeCell ref="D43:G43"/>
    <mergeCell ref="D48:G48"/>
    <mergeCell ref="D65:G65"/>
    <mergeCell ref="H10:J10"/>
    <mergeCell ref="K10:L10"/>
    <mergeCell ref="D12:G12"/>
    <mergeCell ref="D14:G14"/>
    <mergeCell ref="D17:G17"/>
    <mergeCell ref="D21:G21"/>
    <mergeCell ref="I2:I3"/>
    <mergeCell ref="I4:I5"/>
    <mergeCell ref="I6:I7"/>
    <mergeCell ref="I8:I9"/>
    <mergeCell ref="J2:L3"/>
    <mergeCell ref="J4:L5"/>
    <mergeCell ref="J6:L7"/>
    <mergeCell ref="J8:L9"/>
    <mergeCell ref="E4:F5"/>
    <mergeCell ref="E6:F7"/>
    <mergeCell ref="E8:F9"/>
    <mergeCell ref="G2:H3"/>
    <mergeCell ref="G4:H5"/>
    <mergeCell ref="G6:H7"/>
    <mergeCell ref="G8:H9"/>
    <mergeCell ref="A1:L1"/>
    <mergeCell ref="A2:C3"/>
    <mergeCell ref="A4:C5"/>
    <mergeCell ref="A6:C7"/>
    <mergeCell ref="A8:C9"/>
    <mergeCell ref="D2:D3"/>
    <mergeCell ref="D4:D5"/>
    <mergeCell ref="D6:D7"/>
    <mergeCell ref="D8:D9"/>
    <mergeCell ref="E2:F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12.140625" style="0" hidden="1" customWidth="1"/>
  </cols>
  <sheetData>
    <row r="1" spans="1:7" ht="21.75" customHeight="1">
      <c r="A1" s="1" t="s">
        <v>294</v>
      </c>
      <c r="B1" s="13"/>
      <c r="C1" s="13"/>
      <c r="D1" s="13"/>
      <c r="E1" s="13"/>
      <c r="F1" s="13"/>
      <c r="G1" s="35"/>
    </row>
    <row r="2" spans="1:8" ht="12.75">
      <c r="A2" s="2" t="s">
        <v>1</v>
      </c>
      <c r="B2" s="21" t="s">
        <v>161</v>
      </c>
      <c r="C2" s="40"/>
      <c r="D2" s="26" t="s">
        <v>271</v>
      </c>
      <c r="E2" s="26" t="s">
        <v>276</v>
      </c>
      <c r="F2" s="14"/>
      <c r="G2" s="45"/>
      <c r="H2" s="48"/>
    </row>
    <row r="3" spans="1:8" ht="12.75">
      <c r="A3" s="3"/>
      <c r="B3" s="22"/>
      <c r="C3" s="22"/>
      <c r="D3" s="15"/>
      <c r="E3" s="15"/>
      <c r="F3" s="15"/>
      <c r="G3" s="46"/>
      <c r="H3" s="48"/>
    </row>
    <row r="4" spans="1:8" ht="12.75">
      <c r="A4" s="4" t="s">
        <v>2</v>
      </c>
      <c r="B4" s="23" t="s">
        <v>162</v>
      </c>
      <c r="C4" s="15"/>
      <c r="D4" s="23" t="s">
        <v>272</v>
      </c>
      <c r="E4" s="23" t="s">
        <v>277</v>
      </c>
      <c r="F4" s="15"/>
      <c r="G4" s="46"/>
      <c r="H4" s="48"/>
    </row>
    <row r="5" spans="1:8" ht="12.75">
      <c r="A5" s="3"/>
      <c r="B5" s="15"/>
      <c r="C5" s="15"/>
      <c r="D5" s="15"/>
      <c r="E5" s="15"/>
      <c r="F5" s="15"/>
      <c r="G5" s="46"/>
      <c r="H5" s="48"/>
    </row>
    <row r="6" spans="1:8" ht="12.75">
      <c r="A6" s="4" t="s">
        <v>3</v>
      </c>
      <c r="B6" s="23" t="s">
        <v>163</v>
      </c>
      <c r="C6" s="15"/>
      <c r="D6" s="23" t="s">
        <v>273</v>
      </c>
      <c r="E6" s="23"/>
      <c r="F6" s="15"/>
      <c r="G6" s="46"/>
      <c r="H6" s="48"/>
    </row>
    <row r="7" spans="1:8" ht="12.75">
      <c r="A7" s="3"/>
      <c r="B7" s="15"/>
      <c r="C7" s="15"/>
      <c r="D7" s="15"/>
      <c r="E7" s="15"/>
      <c r="F7" s="15"/>
      <c r="G7" s="46"/>
      <c r="H7" s="48"/>
    </row>
    <row r="8" spans="1:8" ht="12.75">
      <c r="A8" s="4" t="s">
        <v>274</v>
      </c>
      <c r="B8" s="23" t="s">
        <v>278</v>
      </c>
      <c r="C8" s="15"/>
      <c r="D8" s="23" t="s">
        <v>257</v>
      </c>
      <c r="E8" s="32">
        <v>41217</v>
      </c>
      <c r="F8" s="15"/>
      <c r="G8" s="46"/>
      <c r="H8" s="48"/>
    </row>
    <row r="9" spans="1:8" ht="12.75">
      <c r="A9" s="5"/>
      <c r="B9" s="16"/>
      <c r="C9" s="16"/>
      <c r="D9" s="16"/>
      <c r="E9" s="16"/>
      <c r="F9" s="16"/>
      <c r="G9" s="47"/>
      <c r="H9" s="48"/>
    </row>
    <row r="10" spans="1:8" ht="12.75">
      <c r="A10" s="55" t="s">
        <v>77</v>
      </c>
      <c r="B10" s="57" t="s">
        <v>78</v>
      </c>
      <c r="C10" s="58" t="s">
        <v>165</v>
      </c>
      <c r="D10" s="59" t="s">
        <v>295</v>
      </c>
      <c r="E10" s="59" t="s">
        <v>296</v>
      </c>
      <c r="F10" s="59" t="s">
        <v>297</v>
      </c>
      <c r="G10" s="62" t="s">
        <v>298</v>
      </c>
      <c r="H10" s="49"/>
    </row>
    <row r="11" spans="1:9" ht="12.75">
      <c r="A11" s="56"/>
      <c r="B11" s="56" t="s">
        <v>17</v>
      </c>
      <c r="C11" s="56" t="s">
        <v>166</v>
      </c>
      <c r="D11" s="60"/>
      <c r="E11" s="60"/>
      <c r="F11" s="63">
        <f aca="true" t="shared" si="0" ref="F11:F28">D11+E11</f>
        <v>0</v>
      </c>
      <c r="G11" s="63">
        <v>7.866</v>
      </c>
      <c r="H11" s="30" t="s">
        <v>299</v>
      </c>
      <c r="I11" s="30">
        <f aca="true" t="shared" si="1" ref="I11:I28">IF(H11="T",0,F11)</f>
        <v>0</v>
      </c>
    </row>
    <row r="12" spans="1:9" ht="12.75">
      <c r="A12" s="9"/>
      <c r="B12" s="9" t="s">
        <v>62</v>
      </c>
      <c r="C12" s="9" t="s">
        <v>168</v>
      </c>
      <c r="F12" s="30">
        <f t="shared" si="0"/>
        <v>0</v>
      </c>
      <c r="G12" s="30">
        <v>25.97832</v>
      </c>
      <c r="H12" s="30" t="s">
        <v>299</v>
      </c>
      <c r="I12" s="30">
        <f t="shared" si="1"/>
        <v>0</v>
      </c>
    </row>
    <row r="13" spans="1:9" ht="12.75">
      <c r="A13" s="9"/>
      <c r="B13" s="9" t="s">
        <v>65</v>
      </c>
      <c r="C13" s="9" t="s">
        <v>171</v>
      </c>
      <c r="F13" s="30">
        <f t="shared" si="0"/>
        <v>0</v>
      </c>
      <c r="G13" s="30">
        <v>10.62561</v>
      </c>
      <c r="H13" s="30" t="s">
        <v>299</v>
      </c>
      <c r="I13" s="30">
        <f t="shared" si="1"/>
        <v>0</v>
      </c>
    </row>
    <row r="14" spans="1:9" ht="12.75">
      <c r="A14" s="9"/>
      <c r="B14" s="9" t="s">
        <v>67</v>
      </c>
      <c r="C14" s="9" t="s">
        <v>175</v>
      </c>
      <c r="F14" s="30">
        <f t="shared" si="0"/>
        <v>0</v>
      </c>
      <c r="G14" s="30">
        <v>0.96889</v>
      </c>
      <c r="H14" s="30" t="s">
        <v>299</v>
      </c>
      <c r="I14" s="30">
        <f t="shared" si="1"/>
        <v>0</v>
      </c>
    </row>
    <row r="15" spans="1:9" ht="12.75">
      <c r="A15" s="9"/>
      <c r="B15" s="9" t="s">
        <v>69</v>
      </c>
      <c r="C15" s="9" t="s">
        <v>180</v>
      </c>
      <c r="F15" s="30">
        <f t="shared" si="0"/>
        <v>0</v>
      </c>
      <c r="G15" s="30">
        <v>1.3082</v>
      </c>
      <c r="H15" s="30" t="s">
        <v>299</v>
      </c>
      <c r="I15" s="30">
        <f t="shared" si="1"/>
        <v>0</v>
      </c>
    </row>
    <row r="16" spans="1:9" ht="12.75">
      <c r="A16" s="9"/>
      <c r="B16" s="9" t="s">
        <v>70</v>
      </c>
      <c r="C16" s="9" t="s">
        <v>182</v>
      </c>
      <c r="F16" s="30">
        <f t="shared" si="0"/>
        <v>0</v>
      </c>
      <c r="G16" s="30">
        <v>0.1744</v>
      </c>
      <c r="H16" s="30" t="s">
        <v>299</v>
      </c>
      <c r="I16" s="30">
        <f t="shared" si="1"/>
        <v>0</v>
      </c>
    </row>
    <row r="17" spans="1:9" ht="12.75">
      <c r="A17" s="9"/>
      <c r="B17" s="9" t="s">
        <v>97</v>
      </c>
      <c r="C17" s="9" t="s">
        <v>190</v>
      </c>
      <c r="F17" s="30">
        <f t="shared" si="0"/>
        <v>0</v>
      </c>
      <c r="G17" s="30">
        <v>0.00739</v>
      </c>
      <c r="H17" s="30" t="s">
        <v>299</v>
      </c>
      <c r="I17" s="30">
        <f t="shared" si="1"/>
        <v>0</v>
      </c>
    </row>
    <row r="18" spans="1:9" ht="12.75">
      <c r="A18" s="9"/>
      <c r="B18" s="9" t="s">
        <v>104</v>
      </c>
      <c r="C18" s="9" t="s">
        <v>197</v>
      </c>
      <c r="F18" s="30">
        <f t="shared" si="0"/>
        <v>0</v>
      </c>
      <c r="G18" s="30">
        <v>0.03814</v>
      </c>
      <c r="H18" s="30" t="s">
        <v>299</v>
      </c>
      <c r="I18" s="30">
        <f t="shared" si="1"/>
        <v>0</v>
      </c>
    </row>
    <row r="19" spans="1:9" ht="12.75">
      <c r="A19" s="9"/>
      <c r="B19" s="9" t="s">
        <v>109</v>
      </c>
      <c r="C19" s="9" t="s">
        <v>202</v>
      </c>
      <c r="F19" s="30">
        <f t="shared" si="0"/>
        <v>0</v>
      </c>
      <c r="G19" s="30">
        <v>0.21286</v>
      </c>
      <c r="H19" s="30" t="s">
        <v>299</v>
      </c>
      <c r="I19" s="30">
        <f t="shared" si="1"/>
        <v>0</v>
      </c>
    </row>
    <row r="20" spans="1:9" ht="12.75">
      <c r="A20" s="9"/>
      <c r="B20" s="9" t="s">
        <v>126</v>
      </c>
      <c r="C20" s="9" t="s">
        <v>219</v>
      </c>
      <c r="F20" s="30">
        <f t="shared" si="0"/>
        <v>0</v>
      </c>
      <c r="G20" s="30">
        <v>0.00654</v>
      </c>
      <c r="H20" s="30" t="s">
        <v>299</v>
      </c>
      <c r="I20" s="30">
        <f t="shared" si="1"/>
        <v>0</v>
      </c>
    </row>
    <row r="21" spans="1:9" ht="12.75">
      <c r="A21" s="9"/>
      <c r="B21" s="9" t="s">
        <v>129</v>
      </c>
      <c r="C21" s="9" t="s">
        <v>222</v>
      </c>
      <c r="F21" s="30">
        <f t="shared" si="0"/>
        <v>0</v>
      </c>
      <c r="G21" s="30">
        <v>0</v>
      </c>
      <c r="H21" s="30" t="s">
        <v>299</v>
      </c>
      <c r="I21" s="30">
        <f t="shared" si="1"/>
        <v>0</v>
      </c>
    </row>
    <row r="22" spans="1:9" ht="12.75">
      <c r="A22" s="9"/>
      <c r="B22" s="9" t="s">
        <v>131</v>
      </c>
      <c r="C22" s="9" t="s">
        <v>224</v>
      </c>
      <c r="F22" s="30">
        <f t="shared" si="0"/>
        <v>0</v>
      </c>
      <c r="G22" s="30">
        <v>0.26434</v>
      </c>
      <c r="H22" s="30" t="s">
        <v>299</v>
      </c>
      <c r="I22" s="30">
        <f t="shared" si="1"/>
        <v>0</v>
      </c>
    </row>
    <row r="23" spans="1:9" ht="12.75">
      <c r="A23" s="9"/>
      <c r="B23" s="9" t="s">
        <v>134</v>
      </c>
      <c r="C23" s="9" t="s">
        <v>227</v>
      </c>
      <c r="F23" s="30">
        <f t="shared" si="0"/>
        <v>0</v>
      </c>
      <c r="G23" s="30">
        <v>0.66253</v>
      </c>
      <c r="H23" s="30" t="s">
        <v>299</v>
      </c>
      <c r="I23" s="30">
        <f t="shared" si="1"/>
        <v>0</v>
      </c>
    </row>
    <row r="24" spans="1:9" ht="12.75">
      <c r="A24" s="9"/>
      <c r="B24" s="9" t="s">
        <v>138</v>
      </c>
      <c r="C24" s="9" t="s">
        <v>231</v>
      </c>
      <c r="F24" s="30">
        <f t="shared" si="0"/>
        <v>0</v>
      </c>
      <c r="G24" s="30">
        <v>0.0126</v>
      </c>
      <c r="H24" s="30" t="s">
        <v>299</v>
      </c>
      <c r="I24" s="30">
        <f t="shared" si="1"/>
        <v>0</v>
      </c>
    </row>
    <row r="25" spans="1:9" ht="12.75">
      <c r="A25" s="9"/>
      <c r="B25" s="9" t="s">
        <v>141</v>
      </c>
      <c r="C25" s="9" t="s">
        <v>234</v>
      </c>
      <c r="F25" s="30">
        <f t="shared" si="0"/>
        <v>0</v>
      </c>
      <c r="G25" s="30">
        <v>2.45712</v>
      </c>
      <c r="H25" s="30" t="s">
        <v>299</v>
      </c>
      <c r="I25" s="30">
        <f t="shared" si="1"/>
        <v>0</v>
      </c>
    </row>
    <row r="26" spans="1:9" ht="12.75">
      <c r="A26" s="9"/>
      <c r="B26" s="9" t="s">
        <v>149</v>
      </c>
      <c r="C26" s="9" t="s">
        <v>242</v>
      </c>
      <c r="F26" s="30">
        <f t="shared" si="0"/>
        <v>0</v>
      </c>
      <c r="G26" s="30">
        <v>1.944</v>
      </c>
      <c r="H26" s="30" t="s">
        <v>299</v>
      </c>
      <c r="I26" s="30">
        <f t="shared" si="1"/>
        <v>0</v>
      </c>
    </row>
    <row r="27" spans="1:9" ht="12.75">
      <c r="A27" s="9"/>
      <c r="B27" s="9" t="s">
        <v>154</v>
      </c>
      <c r="C27" s="9" t="s">
        <v>247</v>
      </c>
      <c r="F27" s="30">
        <f t="shared" si="0"/>
        <v>0</v>
      </c>
      <c r="G27" s="30">
        <v>0</v>
      </c>
      <c r="H27" s="30" t="s">
        <v>299</v>
      </c>
      <c r="I27" s="30">
        <f t="shared" si="1"/>
        <v>0</v>
      </c>
    </row>
    <row r="28" spans="1:9" ht="12.75">
      <c r="A28" s="9"/>
      <c r="B28" s="9" t="s">
        <v>159</v>
      </c>
      <c r="C28" s="9" t="s">
        <v>252</v>
      </c>
      <c r="F28" s="30">
        <f t="shared" si="0"/>
        <v>0</v>
      </c>
      <c r="G28" s="30">
        <v>0</v>
      </c>
      <c r="H28" s="30" t="s">
        <v>299</v>
      </c>
      <c r="I28" s="30">
        <f t="shared" si="1"/>
        <v>0</v>
      </c>
    </row>
    <row r="30" spans="5:6" ht="12.75">
      <c r="E30" s="61" t="s">
        <v>270</v>
      </c>
      <c r="F30" s="54">
        <f>SUM(I11:I28)</f>
        <v>0</v>
      </c>
    </row>
  </sheetData>
  <sheetProtection/>
  <mergeCells count="17">
    <mergeCell ref="D4:D5"/>
    <mergeCell ref="D6:D7"/>
    <mergeCell ref="D8:D9"/>
    <mergeCell ref="E2:G3"/>
    <mergeCell ref="E4:G5"/>
    <mergeCell ref="E6:G7"/>
    <mergeCell ref="E8:G9"/>
    <mergeCell ref="A1:F1"/>
    <mergeCell ref="A2:A3"/>
    <mergeCell ref="A4:A5"/>
    <mergeCell ref="A6:A7"/>
    <mergeCell ref="A8:A9"/>
    <mergeCell ref="B2:C3"/>
    <mergeCell ref="B4:C5"/>
    <mergeCell ref="B6:C7"/>
    <mergeCell ref="B8:C9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64" t="s">
        <v>300</v>
      </c>
      <c r="B1" s="77"/>
      <c r="C1" s="77"/>
      <c r="D1" s="77"/>
      <c r="E1" s="77"/>
      <c r="F1" s="77"/>
      <c r="G1" s="77"/>
      <c r="H1" s="77"/>
      <c r="I1" s="77"/>
    </row>
    <row r="2" spans="1:10" ht="12.75">
      <c r="A2" s="2" t="s">
        <v>1</v>
      </c>
      <c r="B2" s="14"/>
      <c r="C2" s="21" t="s">
        <v>161</v>
      </c>
      <c r="D2" s="40"/>
      <c r="E2" s="26" t="s">
        <v>271</v>
      </c>
      <c r="F2" s="26" t="s">
        <v>276</v>
      </c>
      <c r="G2" s="14"/>
      <c r="H2" s="26" t="s">
        <v>336</v>
      </c>
      <c r="I2" s="97"/>
      <c r="J2" s="48"/>
    </row>
    <row r="3" spans="1:10" ht="12.75">
      <c r="A3" s="3"/>
      <c r="B3" s="15"/>
      <c r="C3" s="22"/>
      <c r="D3" s="22"/>
      <c r="E3" s="15"/>
      <c r="F3" s="15"/>
      <c r="G3" s="15"/>
      <c r="H3" s="15"/>
      <c r="I3" s="46"/>
      <c r="J3" s="48"/>
    </row>
    <row r="4" spans="1:10" ht="12.75">
      <c r="A4" s="4" t="s">
        <v>2</v>
      </c>
      <c r="B4" s="15"/>
      <c r="C4" s="23" t="s">
        <v>162</v>
      </c>
      <c r="D4" s="15"/>
      <c r="E4" s="23" t="s">
        <v>272</v>
      </c>
      <c r="F4" s="23" t="s">
        <v>277</v>
      </c>
      <c r="G4" s="15"/>
      <c r="H4" s="23" t="s">
        <v>336</v>
      </c>
      <c r="I4" s="98"/>
      <c r="J4" s="48"/>
    </row>
    <row r="5" spans="1:10" ht="12.75">
      <c r="A5" s="3"/>
      <c r="B5" s="15"/>
      <c r="C5" s="15"/>
      <c r="D5" s="15"/>
      <c r="E5" s="15"/>
      <c r="F5" s="15"/>
      <c r="G5" s="15"/>
      <c r="H5" s="15"/>
      <c r="I5" s="46"/>
      <c r="J5" s="48"/>
    </row>
    <row r="6" spans="1:10" ht="12.75">
      <c r="A6" s="4" t="s">
        <v>3</v>
      </c>
      <c r="B6" s="15"/>
      <c r="C6" s="23" t="s">
        <v>163</v>
      </c>
      <c r="D6" s="15"/>
      <c r="E6" s="23" t="s">
        <v>273</v>
      </c>
      <c r="F6" s="23"/>
      <c r="G6" s="15"/>
      <c r="H6" s="23" t="s">
        <v>336</v>
      </c>
      <c r="I6" s="98"/>
      <c r="J6" s="48"/>
    </row>
    <row r="7" spans="1:10" ht="12.75">
      <c r="A7" s="3"/>
      <c r="B7" s="15"/>
      <c r="C7" s="15"/>
      <c r="D7" s="15"/>
      <c r="E7" s="15"/>
      <c r="F7" s="15"/>
      <c r="G7" s="15"/>
      <c r="H7" s="15"/>
      <c r="I7" s="46"/>
      <c r="J7" s="48"/>
    </row>
    <row r="8" spans="1:10" ht="12.75">
      <c r="A8" s="4" t="s">
        <v>255</v>
      </c>
      <c r="B8" s="15"/>
      <c r="C8" s="32">
        <v>41217</v>
      </c>
      <c r="D8" s="15"/>
      <c r="E8" s="23" t="s">
        <v>256</v>
      </c>
      <c r="F8" s="15"/>
      <c r="G8" s="15"/>
      <c r="H8" s="23" t="s">
        <v>337</v>
      </c>
      <c r="I8" s="98" t="s">
        <v>76</v>
      </c>
      <c r="J8" s="48"/>
    </row>
    <row r="9" spans="1:10" ht="12.75">
      <c r="A9" s="3"/>
      <c r="B9" s="15"/>
      <c r="C9" s="15"/>
      <c r="D9" s="15"/>
      <c r="E9" s="15"/>
      <c r="F9" s="15"/>
      <c r="G9" s="15"/>
      <c r="H9" s="15"/>
      <c r="I9" s="46"/>
      <c r="J9" s="48"/>
    </row>
    <row r="10" spans="1:10" ht="12.75">
      <c r="A10" s="4" t="s">
        <v>4</v>
      </c>
      <c r="B10" s="15"/>
      <c r="C10" s="23" t="s">
        <v>164</v>
      </c>
      <c r="D10" s="15"/>
      <c r="E10" s="23" t="s">
        <v>274</v>
      </c>
      <c r="F10" s="23" t="s">
        <v>278</v>
      </c>
      <c r="G10" s="15"/>
      <c r="H10" s="23" t="s">
        <v>338</v>
      </c>
      <c r="I10" s="99">
        <v>41217</v>
      </c>
      <c r="J10" s="48"/>
    </row>
    <row r="11" spans="1:10" ht="12.75">
      <c r="A11" s="65"/>
      <c r="B11" s="78"/>
      <c r="C11" s="78"/>
      <c r="D11" s="78"/>
      <c r="E11" s="78"/>
      <c r="F11" s="78"/>
      <c r="G11" s="78"/>
      <c r="H11" s="78"/>
      <c r="I11" s="100"/>
      <c r="J11" s="48"/>
    </row>
    <row r="12" spans="1:9" ht="23.25" customHeight="1">
      <c r="A12" s="66" t="s">
        <v>301</v>
      </c>
      <c r="B12" s="79"/>
      <c r="C12" s="79"/>
      <c r="D12" s="79"/>
      <c r="E12" s="79"/>
      <c r="F12" s="79"/>
      <c r="G12" s="79"/>
      <c r="H12" s="79"/>
      <c r="I12" s="79"/>
    </row>
    <row r="13" spans="1:10" ht="26.25" customHeight="1">
      <c r="A13" s="67" t="s">
        <v>302</v>
      </c>
      <c r="B13" s="80" t="s">
        <v>314</v>
      </c>
      <c r="C13" s="87"/>
      <c r="D13" s="67" t="s">
        <v>316</v>
      </c>
      <c r="E13" s="80" t="s">
        <v>324</v>
      </c>
      <c r="F13" s="87"/>
      <c r="G13" s="67" t="s">
        <v>325</v>
      </c>
      <c r="H13" s="80" t="s">
        <v>339</v>
      </c>
      <c r="I13" s="87"/>
      <c r="J13" s="48"/>
    </row>
    <row r="14" spans="1:10" ht="15" customHeight="1">
      <c r="A14" s="68" t="s">
        <v>303</v>
      </c>
      <c r="B14" s="81" t="s">
        <v>315</v>
      </c>
      <c r="C14" s="88"/>
      <c r="D14" s="93" t="s">
        <v>317</v>
      </c>
      <c r="E14" s="95"/>
      <c r="F14" s="88"/>
      <c r="G14" s="93" t="s">
        <v>326</v>
      </c>
      <c r="H14" s="95"/>
      <c r="I14" s="88"/>
      <c r="J14" s="48"/>
    </row>
    <row r="15" spans="1:10" ht="15" customHeight="1">
      <c r="A15" s="69"/>
      <c r="B15" s="81" t="s">
        <v>275</v>
      </c>
      <c r="C15" s="88"/>
      <c r="D15" s="93" t="s">
        <v>318</v>
      </c>
      <c r="E15" s="95"/>
      <c r="F15" s="88"/>
      <c r="G15" s="93" t="s">
        <v>327</v>
      </c>
      <c r="H15" s="95"/>
      <c r="I15" s="88"/>
      <c r="J15" s="48"/>
    </row>
    <row r="16" spans="1:10" ht="15" customHeight="1">
      <c r="A16" s="68" t="s">
        <v>304</v>
      </c>
      <c r="B16" s="81" t="s">
        <v>315</v>
      </c>
      <c r="C16" s="88"/>
      <c r="D16" s="93" t="s">
        <v>319</v>
      </c>
      <c r="E16" s="95"/>
      <c r="F16" s="88"/>
      <c r="G16" s="93" t="s">
        <v>328</v>
      </c>
      <c r="H16" s="95"/>
      <c r="I16" s="88"/>
      <c r="J16" s="48"/>
    </row>
    <row r="17" spans="1:10" ht="15" customHeight="1">
      <c r="A17" s="69"/>
      <c r="B17" s="81" t="s">
        <v>275</v>
      </c>
      <c r="C17" s="88"/>
      <c r="D17" s="93"/>
      <c r="E17" s="95"/>
      <c r="F17" s="96"/>
      <c r="G17" s="93" t="s">
        <v>329</v>
      </c>
      <c r="H17" s="95"/>
      <c r="I17" s="88"/>
      <c r="J17" s="48"/>
    </row>
    <row r="18" spans="1:10" ht="15" customHeight="1">
      <c r="A18" s="68" t="s">
        <v>305</v>
      </c>
      <c r="B18" s="81" t="s">
        <v>315</v>
      </c>
      <c r="C18" s="88"/>
      <c r="D18" s="93"/>
      <c r="E18" s="95"/>
      <c r="F18" s="96"/>
      <c r="G18" s="93" t="s">
        <v>330</v>
      </c>
      <c r="H18" s="95"/>
      <c r="I18" s="88"/>
      <c r="J18" s="48"/>
    </row>
    <row r="19" spans="1:10" ht="15" customHeight="1">
      <c r="A19" s="69"/>
      <c r="B19" s="81" t="s">
        <v>275</v>
      </c>
      <c r="C19" s="88"/>
      <c r="D19" s="93"/>
      <c r="E19" s="95"/>
      <c r="F19" s="96"/>
      <c r="G19" s="93" t="s">
        <v>331</v>
      </c>
      <c r="H19" s="95"/>
      <c r="I19" s="88"/>
      <c r="J19" s="48"/>
    </row>
    <row r="20" spans="1:10" ht="15" customHeight="1">
      <c r="A20" s="70" t="s">
        <v>306</v>
      </c>
      <c r="B20" s="82"/>
      <c r="C20" s="88"/>
      <c r="D20" s="93"/>
      <c r="E20" s="95"/>
      <c r="F20" s="96"/>
      <c r="G20" s="93"/>
      <c r="H20" s="95"/>
      <c r="I20" s="96"/>
      <c r="J20" s="48"/>
    </row>
    <row r="21" spans="1:10" ht="15" customHeight="1">
      <c r="A21" s="70" t="s">
        <v>307</v>
      </c>
      <c r="B21" s="82"/>
      <c r="C21" s="88"/>
      <c r="D21" s="93"/>
      <c r="E21" s="95"/>
      <c r="F21" s="96"/>
      <c r="G21" s="93"/>
      <c r="H21" s="95"/>
      <c r="I21" s="96"/>
      <c r="J21" s="48"/>
    </row>
    <row r="22" spans="1:10" ht="16.5" customHeight="1">
      <c r="A22" s="70" t="s">
        <v>308</v>
      </c>
      <c r="B22" s="82"/>
      <c r="C22" s="88"/>
      <c r="D22" s="70" t="s">
        <v>320</v>
      </c>
      <c r="E22" s="82"/>
      <c r="F22" s="88"/>
      <c r="G22" s="70" t="s">
        <v>332</v>
      </c>
      <c r="H22" s="82"/>
      <c r="I22" s="88"/>
      <c r="J22" s="48"/>
    </row>
    <row r="23" spans="1:9" ht="12.75">
      <c r="A23" s="71"/>
      <c r="B23" s="71"/>
      <c r="C23" s="71"/>
      <c r="D23" s="12"/>
      <c r="E23" s="12"/>
      <c r="F23" s="12"/>
      <c r="G23" s="12"/>
      <c r="H23" s="12"/>
      <c r="I23" s="12"/>
    </row>
    <row r="24" spans="1:9" ht="15" customHeight="1">
      <c r="A24" s="72" t="s">
        <v>309</v>
      </c>
      <c r="B24" s="83"/>
      <c r="C24" s="89"/>
      <c r="D24" s="94"/>
      <c r="E24" s="35"/>
      <c r="F24" s="35"/>
      <c r="G24" s="35"/>
      <c r="H24" s="35"/>
      <c r="I24" s="35"/>
    </row>
    <row r="25" spans="1:10" ht="15" customHeight="1">
      <c r="A25" s="72" t="s">
        <v>310</v>
      </c>
      <c r="B25" s="83"/>
      <c r="C25" s="89"/>
      <c r="D25" s="72" t="s">
        <v>321</v>
      </c>
      <c r="E25" s="83"/>
      <c r="F25" s="89"/>
      <c r="G25" s="72" t="s">
        <v>333</v>
      </c>
      <c r="H25" s="83"/>
      <c r="I25" s="89"/>
      <c r="J25" s="48"/>
    </row>
    <row r="26" spans="1:10" ht="15" customHeight="1">
      <c r="A26" s="72" t="s">
        <v>311</v>
      </c>
      <c r="B26" s="83"/>
      <c r="C26" s="89"/>
      <c r="D26" s="72" t="s">
        <v>322</v>
      </c>
      <c r="E26" s="83"/>
      <c r="F26" s="89"/>
      <c r="G26" s="72" t="s">
        <v>334</v>
      </c>
      <c r="H26" s="83"/>
      <c r="I26" s="89"/>
      <c r="J26" s="48"/>
    </row>
    <row r="27" spans="1:9" ht="12.75">
      <c r="A27" s="73"/>
      <c r="B27" s="73"/>
      <c r="C27" s="73"/>
      <c r="D27" s="73"/>
      <c r="E27" s="73"/>
      <c r="F27" s="73"/>
      <c r="G27" s="73"/>
      <c r="H27" s="73"/>
      <c r="I27" s="73"/>
    </row>
    <row r="28" spans="1:10" ht="14.25" customHeight="1">
      <c r="A28" s="74" t="s">
        <v>312</v>
      </c>
      <c r="B28" s="84"/>
      <c r="C28" s="90"/>
      <c r="D28" s="74" t="s">
        <v>323</v>
      </c>
      <c r="E28" s="84"/>
      <c r="F28" s="90"/>
      <c r="G28" s="74" t="s">
        <v>335</v>
      </c>
      <c r="H28" s="84"/>
      <c r="I28" s="90"/>
      <c r="J28" s="49"/>
    </row>
    <row r="29" spans="1:10" ht="14.25" customHeight="1">
      <c r="A29" s="75"/>
      <c r="B29" s="85"/>
      <c r="C29" s="91"/>
      <c r="D29" s="75"/>
      <c r="E29" s="85"/>
      <c r="F29" s="91"/>
      <c r="G29" s="75"/>
      <c r="H29" s="85"/>
      <c r="I29" s="91"/>
      <c r="J29" s="49"/>
    </row>
    <row r="30" spans="1:10" ht="14.25" customHeight="1">
      <c r="A30" s="75"/>
      <c r="B30" s="85"/>
      <c r="C30" s="91"/>
      <c r="D30" s="75"/>
      <c r="E30" s="85"/>
      <c r="F30" s="91"/>
      <c r="G30" s="75"/>
      <c r="H30" s="85"/>
      <c r="I30" s="91"/>
      <c r="J30" s="49"/>
    </row>
    <row r="31" spans="1:10" ht="14.25" customHeight="1">
      <c r="A31" s="75"/>
      <c r="B31" s="85"/>
      <c r="C31" s="91"/>
      <c r="D31" s="75"/>
      <c r="E31" s="85"/>
      <c r="F31" s="91"/>
      <c r="G31" s="75"/>
      <c r="H31" s="85"/>
      <c r="I31" s="91"/>
      <c r="J31" s="49"/>
    </row>
    <row r="32" spans="1:10" ht="14.25" customHeight="1">
      <c r="A32" s="76" t="s">
        <v>313</v>
      </c>
      <c r="B32" s="86"/>
      <c r="C32" s="92"/>
      <c r="D32" s="76" t="s">
        <v>313</v>
      </c>
      <c r="E32" s="86"/>
      <c r="F32" s="92"/>
      <c r="G32" s="76" t="s">
        <v>313</v>
      </c>
      <c r="H32" s="86"/>
      <c r="I32" s="92"/>
      <c r="J32" s="49"/>
    </row>
    <row r="33" spans="1:9" ht="12.75">
      <c r="A33" s="60"/>
      <c r="B33" s="60"/>
      <c r="C33" s="60"/>
      <c r="D33" s="60"/>
      <c r="E33" s="60"/>
      <c r="F33" s="60"/>
      <c r="G33" s="60"/>
      <c r="H33" s="60"/>
      <c r="I33" s="60"/>
    </row>
  </sheetData>
  <sheetProtection/>
  <mergeCells count="78">
    <mergeCell ref="G29:I29"/>
    <mergeCell ref="G30:I30"/>
    <mergeCell ref="G31:I31"/>
    <mergeCell ref="G32:I32"/>
    <mergeCell ref="A29:C29"/>
    <mergeCell ref="A30:C30"/>
    <mergeCell ref="A31:C31"/>
    <mergeCell ref="A32:C32"/>
    <mergeCell ref="D28:F28"/>
    <mergeCell ref="D29:F29"/>
    <mergeCell ref="D30:F30"/>
    <mergeCell ref="D31:F31"/>
    <mergeCell ref="D32:F32"/>
    <mergeCell ref="A26:B26"/>
    <mergeCell ref="D25:E25"/>
    <mergeCell ref="D26:E26"/>
    <mergeCell ref="G25:H25"/>
    <mergeCell ref="G26:H26"/>
    <mergeCell ref="A28:C28"/>
    <mergeCell ref="G28:I28"/>
    <mergeCell ref="G19:H19"/>
    <mergeCell ref="G20:H20"/>
    <mergeCell ref="G21:H21"/>
    <mergeCell ref="G22:H22"/>
    <mergeCell ref="A24:B24"/>
    <mergeCell ref="A25:B25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C10:D11"/>
    <mergeCell ref="E2:E3"/>
    <mergeCell ref="E4:E5"/>
    <mergeCell ref="E6:E7"/>
    <mergeCell ref="E8:E9"/>
    <mergeCell ref="E10:E11"/>
    <mergeCell ref="A1:I1"/>
    <mergeCell ref="A2:B3"/>
    <mergeCell ref="A4:B5"/>
    <mergeCell ref="A6:B7"/>
    <mergeCell ref="A8:B9"/>
    <mergeCell ref="A10:B11"/>
    <mergeCell ref="C2:D3"/>
    <mergeCell ref="C4:D5"/>
    <mergeCell ref="C6:D7"/>
    <mergeCell ref="C8:D9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dcterms:created xsi:type="dcterms:W3CDTF">2012-11-26T06:06:10Z</dcterms:created>
  <dcterms:modified xsi:type="dcterms:W3CDTF">2012-11-26T06:06:10Z</dcterms:modified>
  <cp:category/>
  <cp:version/>
  <cp:contentType/>
  <cp:contentStatus/>
</cp:coreProperties>
</file>