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30" yWindow="270" windowWidth="13575" windowHeight="12825" activeTab="1"/>
  </bookViews>
  <sheets>
    <sheet name="Rekapitulace stavby" sheetId="1" r:id="rId1"/>
    <sheet name="13014 - Výměna oken bytov..." sheetId="2" r:id="rId2"/>
  </sheets>
  <definedNames>
    <definedName name="_xlnm.Print_Titles" localSheetId="1">'13014 - Výměna oken bytov...'!$126:$126</definedName>
    <definedName name="_xlnm.Print_Titles" localSheetId="0">'Rekapitulace stavby'!$85:$85</definedName>
    <definedName name="_xlnm.Print_Area" localSheetId="1">'13014 - Výměna oken bytov...'!$C$4:$Q$70,'13014 - Výměna oken bytov...'!$C$76:$Q$111,'13014 - Výměna oken bytov...'!$C$117:$Q$217</definedName>
    <definedName name="_xlnm.Print_Area" localSheetId="0">'Rekapitulace stavby'!$C$4:$AP$70,'Rekapitulace stavby'!$C$76:$AP$105</definedName>
  </definedNames>
  <calcPr fullCalcOnLoad="1"/>
</workbook>
</file>

<file path=xl/sharedStrings.xml><?xml version="1.0" encoding="utf-8"?>
<sst xmlns="http://schemas.openxmlformats.org/spreadsheetml/2006/main" count="1174" uniqueCount="326">
  <si>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</si>
  <si>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</si>
  <si>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</si>
  <si>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</si>
  <si>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</si>
  <si>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</si>
  <si>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</si>
  <si>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</si>
  <si>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</si>
  <si>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</si>
  <si>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</si>
  <si>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</si>
  <si>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</si>
  <si>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</si>
  <si>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</si>
  <si>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13014 - Výměna oken bytového domu</t>
  </si>
  <si>
    <t>0,1</t>
  </si>
  <si>
    <t>1</t>
  </si>
  <si>
    <t>Místo:</t>
  </si>
  <si>
    <t>Kolín II, Dělnická 806, 807</t>
  </si>
  <si>
    <t>Datum:</t>
  </si>
  <si>
    <t>23.04.2013</t>
  </si>
  <si>
    <t>10</t>
  </si>
  <si>
    <t>100</t>
  </si>
  <si>
    <t>Objednavatel:</t>
  </si>
  <si>
    <t>IČ:</t>
  </si>
  <si>
    <t>Město Kolín</t>
  </si>
  <si>
    <t>DIČ:</t>
  </si>
  <si>
    <t>Zhotovitel:</t>
  </si>
  <si>
    <t>Vyplň údaj</t>
  </si>
  <si>
    <t>Projektant:</t>
  </si>
  <si>
    <t>27210341</t>
  </si>
  <si>
    <t>AZ PROJECT spol. s r.o., Kolín</t>
  </si>
  <si>
    <t>CZ27210341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</si>
  <si>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</si>
  <si>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</si>
  <si>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</si>
  <si>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</si>
  <si>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</si>
  <si>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</si>
  <si>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</si>
  <si>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</si>
  <si>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</si>
  <si>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</si>
  <si>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</si>
  <si>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</si>
  <si>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</si>
  <si>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</si>
  <si>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</si>
  <si>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</si>
  <si>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</si>
  <si>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</si>
  <si>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</si>
  <si>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</si>
  <si>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</si>
  <si>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</si>
  <si>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</si>
  <si>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</si>
  <si>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</si>
  <si>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</si>
  <si>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</si>
  <si>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</si>
  <si>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</si>
  <si>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</si>
  <si>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</si>
  <si>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</si>
  <si>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</si>
  <si>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</si>
  <si>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</si>
  <si>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</si>
  <si>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</si>
  <si>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</si>
  <si>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</si>
  <si>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</si>
  <si>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</si>
  <si>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</si>
  <si>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</si>
  <si>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{B45AC505-0BAE-404B-9E46-4B088BC740E8}</t>
  </si>
  <si>
    <t>{00000000-0000-0000-0000-000000000000}</t>
  </si>
  <si>
    <t>13014</t>
  </si>
  <si>
    <t>Výměna oken bytového domu</t>
  </si>
  <si>
    <t>###NOINSERT###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</si>
  <si>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</si>
  <si>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</si>
  <si>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</si>
  <si>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</si>
  <si>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</si>
  <si>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</si>
  <si>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</si>
  <si>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</si>
  <si>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</si>
  <si>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</si>
  <si>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</si>
  <si>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</si>
  <si>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</si>
  <si>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</si>
  <si>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</si>
  <si>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</si>
  <si>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</si>
  <si>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</si>
  <si>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</si>
  <si>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</si>
  <si>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</si>
  <si>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</si>
  <si>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</si>
  <si>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</si>
  <si>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</si>
  <si>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</si>
  <si>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</si>
  <si>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</si>
  <si>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</si>
  <si>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</si>
  <si>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</si>
  <si>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</si>
  <si>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</si>
  <si>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</si>
  <si>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</si>
  <si>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784 - Dokončovací práce - malby a tapety</t>
  </si>
  <si>
    <t xml:space="preserve">    786 - Ostatní</t>
  </si>
  <si>
    <t>VRN - Vedlejší rozpočtové náklady</t>
  </si>
  <si>
    <t xml:space="preserve">    0 - Vedlejší rozpočtové náklady</t>
  </si>
  <si>
    <t>VP -   Vícepráce</t>
  </si>
  <si>
    <t>2) Ostatní náklady</t>
  </si>
  <si>
    <t>Zařízení staveniště</t>
  </si>
  <si>
    <t>VRN</t>
  </si>
  <si>
    <t>2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</si>
  <si>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</si>
  <si>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</si>
  <si>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</si>
  <si>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</si>
  <si>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</si>
  <si>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</si>
  <si>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</si>
  <si>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</si>
  <si>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</si>
  <si>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</si>
  <si>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</si>
  <si>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</si>
  <si>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</si>
  <si>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</si>
  <si>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</si>
  <si>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</si>
  <si>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</si>
  <si>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</si>
  <si>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</si>
  <si>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</si>
  <si>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</si>
  <si>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</si>
  <si>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</si>
  <si>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624631223</t>
  </si>
  <si>
    <t>Tmelení silikonovým tmelem spar prefabrikovaných dílců š do 25 mm včetně penetrace</t>
  </si>
  <si>
    <t>m</t>
  </si>
  <si>
    <t>4</t>
  </si>
  <si>
    <t>(3,3+2,5*2)*78+(3+1,6*2)*52+1,5*3*13</t>
  </si>
  <si>
    <t>VV</t>
  </si>
  <si>
    <t>Součet</t>
  </si>
  <si>
    <t>952902221</t>
  </si>
  <si>
    <t>Čištění budov zametení schodišť</t>
  </si>
  <si>
    <t>m2</t>
  </si>
  <si>
    <t>14,56*2*13</t>
  </si>
  <si>
    <t>3</t>
  </si>
  <si>
    <t>959991R01</t>
  </si>
  <si>
    <t>Začištění,srovnání podhledů a ostění otvorů, penetrace povrchu</t>
  </si>
  <si>
    <t>968062376</t>
  </si>
  <si>
    <t xml:space="preserve">Vybourání dřevěných rámů oken zdvojených včetně křídel pl do 4 m2 </t>
  </si>
  <si>
    <t>1,5*1,5*13</t>
  </si>
  <si>
    <t>5</t>
  </si>
  <si>
    <t>968062377</t>
  </si>
  <si>
    <t>Vybourání dřevěných rámů oken zdvojených včetně křídel pl přes 4 m2</t>
  </si>
  <si>
    <t>2,475*2,5*77+3*1,6*42</t>
  </si>
  <si>
    <t>6</t>
  </si>
  <si>
    <t>9680623R1</t>
  </si>
  <si>
    <t>Vybourání plast. oken a balkon. dveří se zachováním funkčnosti, uložení do skladu</t>
  </si>
  <si>
    <t>2,475*2,5+0,825*2,5+3*1,6*10</t>
  </si>
  <si>
    <t>7</t>
  </si>
  <si>
    <t>968062456</t>
  </si>
  <si>
    <t>Vybourání dřevěných dveřních zárubní pl přes 2 m2</t>
  </si>
  <si>
    <t>0,825*2,5*77</t>
  </si>
  <si>
    <t>8</t>
  </si>
  <si>
    <t>997002611</t>
  </si>
  <si>
    <t>Nakládání suti a vybouraných hmot</t>
  </si>
  <si>
    <t>t</t>
  </si>
  <si>
    <t>9</t>
  </si>
  <si>
    <t>997013501</t>
  </si>
  <si>
    <t>Odvoz suti na skládku a vybouraných hmot nebo meziskládku do 1 km se složením</t>
  </si>
  <si>
    <t>997013509</t>
  </si>
  <si>
    <t>Příplatek k odvozu suti a vybouraných hmot na skládku ZKD 1 km přes 1 km</t>
  </si>
  <si>
    <t>38,543*18</t>
  </si>
  <si>
    <t>11</t>
  </si>
  <si>
    <t>997013811</t>
  </si>
  <si>
    <t>Poplatek za uložení stavebního dřevěného odpadu na skládce (skládkovné)</t>
  </si>
  <si>
    <t>12</t>
  </si>
  <si>
    <t>997013831</t>
  </si>
  <si>
    <t>Poplatek za uložení stavebního směsného odpadu na skládce (skládkovné)</t>
  </si>
  <si>
    <t>16</t>
  </si>
  <si>
    <t>13</t>
  </si>
  <si>
    <t>998012025</t>
  </si>
  <si>
    <t>Přesun hmot pro budovy monolitické v do 48 m</t>
  </si>
  <si>
    <t>14</t>
  </si>
  <si>
    <t>76441R001</t>
  </si>
  <si>
    <t>Uříznutí + doplnění parapetního plechu  cca 20 mm - zatmelení, připevnění nýty</t>
  </si>
  <si>
    <t>3*52+1,5*13</t>
  </si>
  <si>
    <t>998764205</t>
  </si>
  <si>
    <t>Přesun hmot procentní pro konstrukce klempířské v objektech v do 48 m</t>
  </si>
  <si>
    <t>%</t>
  </si>
  <si>
    <t>76621R002</t>
  </si>
  <si>
    <t>Zalištování podhledy + ostění - spáry z vnější strany, podtmelení strany</t>
  </si>
  <si>
    <t>17</t>
  </si>
  <si>
    <t>766621421</t>
  </si>
  <si>
    <t>Montáž oken zdvojených otočných výšky do 1,5m s rámem do celostěnových panelů nebo ocelových rámů</t>
  </si>
  <si>
    <t>18</t>
  </si>
  <si>
    <t>766621422</t>
  </si>
  <si>
    <t>Montáž oken zdvojených otočných výšky přes 1,5 do 2,5m s rámem do celostěn panelů a ocel rámů</t>
  </si>
  <si>
    <t>2,475*2,5*78+3*1,6*52</t>
  </si>
  <si>
    <t>19</t>
  </si>
  <si>
    <t>M</t>
  </si>
  <si>
    <t>611400R01</t>
  </si>
  <si>
    <t>kus</t>
  </si>
  <si>
    <t>32</t>
  </si>
  <si>
    <t>20</t>
  </si>
  <si>
    <t>611400R08</t>
  </si>
  <si>
    <t>okno plastové tříkřídlé otvíravé + vyklápěcí 300x160 cm</t>
  </si>
  <si>
    <t>611400R02</t>
  </si>
  <si>
    <t>okno plastové tříkřídlé otvíravé +otvíravé a vyklápěcí  247,5x250 cm</t>
  </si>
  <si>
    <t>22</t>
  </si>
  <si>
    <t>766629R01</t>
  </si>
  <si>
    <t>Dodávka + montáž komprimační páska KX300 vně oken proti přívalovému dešti min. 600 Pa</t>
  </si>
  <si>
    <t>(3,3+2,5)*2*78+(1,6+3)*2*52+1,5*4*13</t>
  </si>
  <si>
    <t>23</t>
  </si>
  <si>
    <t>766629r02</t>
  </si>
  <si>
    <t>Dodávka + montáž vnitřní parotěsné zábrany</t>
  </si>
  <si>
    <t>24</t>
  </si>
  <si>
    <t>766641131</t>
  </si>
  <si>
    <t>Montáž balkónových dveří zdvojených 1křídlových bez nadsvětlíku včetně rámu do zdiva</t>
  </si>
  <si>
    <t>25</t>
  </si>
  <si>
    <t>6111016R1</t>
  </si>
  <si>
    <t>dveře balkónové jednokřídlové plast. 825/2500 mm</t>
  </si>
  <si>
    <t>26</t>
  </si>
  <si>
    <t>766691915</t>
  </si>
  <si>
    <t>Vyvěšení nebo zavěšení dřevěných křídel dveří pl přes 2 m2</t>
  </si>
  <si>
    <t>27</t>
  </si>
  <si>
    <t>76669R001</t>
  </si>
  <si>
    <t>Doplnění vnitřního parapetu š. cca 70 mm</t>
  </si>
  <si>
    <t>28</t>
  </si>
  <si>
    <t>998766205</t>
  </si>
  <si>
    <t>Přesun hmot procentní pro konstrukce truhlářské v objektech v do 48 m</t>
  </si>
  <si>
    <t>38</t>
  </si>
  <si>
    <t>767896120</t>
  </si>
  <si>
    <t>3,3*78</t>
  </si>
  <si>
    <t>39</t>
  </si>
  <si>
    <t>5491520</t>
  </si>
  <si>
    <t>50</t>
  </si>
  <si>
    <t>998767205</t>
  </si>
  <si>
    <t>Přesun hmot procentní pro zámečnické konstrukce v objektech v do 48 m</t>
  </si>
  <si>
    <t>41</t>
  </si>
  <si>
    <t>776401800</t>
  </si>
  <si>
    <t>Odstranění soklíků a lišt pryžových nebo plastových (u balkonů)</t>
  </si>
  <si>
    <t>42</t>
  </si>
  <si>
    <t>776421100</t>
  </si>
  <si>
    <t>Lepení obvodových soklíků nebo lišt z měkčených plastů</t>
  </si>
  <si>
    <t>43</t>
  </si>
  <si>
    <t>284110020</t>
  </si>
  <si>
    <t>lišta speciální soklová PVC 17371 samolepící, 18,5 x 18,5 mm role 25 m</t>
  </si>
  <si>
    <t>40</t>
  </si>
  <si>
    <t>776511820</t>
  </si>
  <si>
    <t>Demontáž povlakových podlah lepených s podložkou</t>
  </si>
  <si>
    <t>3,3*78*0,5</t>
  </si>
  <si>
    <t>44</t>
  </si>
  <si>
    <t>776521100</t>
  </si>
  <si>
    <t>Lepení pásů povlakových podlah plastových</t>
  </si>
  <si>
    <t>45</t>
  </si>
  <si>
    <t>284102500</t>
  </si>
  <si>
    <t xml:space="preserve">krytina podlahová homogenní </t>
  </si>
  <si>
    <t>46</t>
  </si>
  <si>
    <t>998776205</t>
  </si>
  <si>
    <t>Přesun hmot procentní pro podlahy povlakové v objektech v do 48 m</t>
  </si>
  <si>
    <t>29</t>
  </si>
  <si>
    <t>784121001</t>
  </si>
  <si>
    <t>Oškrabání malby v mísnostech výšky do 3,80 m</t>
  </si>
  <si>
    <t>(3*2,5-3*1,6)*52+(2,3*2,5-1,5*1,5)*13</t>
  </si>
  <si>
    <t>30</t>
  </si>
  <si>
    <t>784121011</t>
  </si>
  <si>
    <t>Rozmývání podkladu po oškrabání malby v místnostech výšky do 3,80 m</t>
  </si>
  <si>
    <t>31</t>
  </si>
  <si>
    <t>784171101</t>
  </si>
  <si>
    <t>Zakrytí vnitřních podlah včetně pozdějšího odkrytí</t>
  </si>
  <si>
    <t>13*(3,4*5,4+3,4*4,8+3,4*2,6-1,8*0,6+3,4*2,15+4,1*1,4+3,4*4,2+3,4*5,4+2,6*3,3+3,4*5,4+3,4*4,8+3,5*2,5-1,8*0,6+3,4*2,5+4,2*1,4+3,4*4,2+3,4*5,4)</t>
  </si>
  <si>
    <t>13*(2,7*3,5+3,3*2,4-1,8*0,6)</t>
  </si>
  <si>
    <t>581248420</t>
  </si>
  <si>
    <t>fólie pro malířské potřeby zakrývací, PG 4020-20, 7µ,  4 x 5 m</t>
  </si>
  <si>
    <t>33</t>
  </si>
  <si>
    <t>784171111</t>
  </si>
  <si>
    <t>Zakrytí vnitřních ploch okna, dveře</t>
  </si>
  <si>
    <t>1,5*1,5*13+3*1,6*52+(1,3*1,97*4)*13</t>
  </si>
  <si>
    <t>13*(0,8*1,97*18+0,6*1,97*12)</t>
  </si>
  <si>
    <t>34</t>
  </si>
  <si>
    <t>581248440</t>
  </si>
  <si>
    <t>fólie pro malířské potřeby zakrývací, PG 4021-20, 25µ,  4 x 5 m</t>
  </si>
  <si>
    <t>35</t>
  </si>
  <si>
    <t>784312021</t>
  </si>
  <si>
    <t>Dvojnásobné bílé vápenné malby v místnostech výšky do 3,80 m</t>
  </si>
  <si>
    <t>47</t>
  </si>
  <si>
    <t>78661R001</t>
  </si>
  <si>
    <t>36</t>
  </si>
  <si>
    <t>78661R002</t>
  </si>
  <si>
    <t>37</t>
  </si>
  <si>
    <t>032203000</t>
  </si>
  <si>
    <t>Pronájem ploch staveniště</t>
  </si>
  <si>
    <t>Kč</t>
  </si>
  <si>
    <t>131072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</si>
  <si>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</si>
  <si>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</si>
  <si>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</si>
  <si>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</si>
  <si>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</si>
  <si>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</si>
  <si>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</si>
  <si>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</si>
  <si>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</si>
  <si>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Trhací zkoušky (26 ks), statické posouzení, návrh kotvení oken</t>
  </si>
  <si>
    <t xml:space="preserve">1,5*13"u štítu, stěna 3*4*13 </t>
  </si>
  <si>
    <t xml:space="preserve">okno plastové dvoukřídlé otvíravé +otvíravé a vyklápěcí 150x150cm včetně bezpečnostního  skla upevněného na vnějším stranu okenního rámu (cca 1500 mm × 350 mm) plnící funkci zábradlí - výška horní hrany bezpečnostního skla - min. 900 mm nad úrovní přilehlé podlahy </t>
  </si>
  <si>
    <t>V2</t>
  </si>
  <si>
    <t>plech okopový Pz poplast 1000 x 100 x 0.8 mm</t>
  </si>
  <si>
    <t>Dodávka + montáž garnýže dvouřadé - atypické - kotveno do stropu ( dřevěná    ( dl.3300  × v.100 × š.150 )  + 2 kolejničky + jezdci ) délka cca 3,3 m  - přesný rozměr doměřit na stavbě !! (  3,3  × 10 × 13 = 429 m´)</t>
  </si>
  <si>
    <t>Montáž Pz okopového plechu (poplast) - nápojení konstrukce balkonového okna na podlahu balkonu včetně tmelení spoje s podlahou balkonu (pokrývačský těsnící tmel kaučukový CSU 520-R)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</si>
</sst>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1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68" fontId="31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0" fontId="23" fillId="34" borderId="0" xfId="0" applyFont="1" applyFill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6" fontId="9" fillId="34" borderId="0" xfId="0" applyNumberFormat="1" applyFont="1" applyFill="1" applyAlignment="1">
      <alignment horizontal="left" vertical="top"/>
    </xf>
    <xf numFmtId="0" fontId="9" fillId="34" borderId="0" xfId="0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left" vertical="top"/>
    </xf>
    <xf numFmtId="0" fontId="9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9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1" fillId="0" borderId="3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164" fontId="31" fillId="34" borderId="33" xfId="0" applyNumberFormat="1" applyFont="1" applyFill="1" applyBorder="1" applyAlignment="1">
      <alignment horizontal="right" vertical="center"/>
    </xf>
    <xf numFmtId="164" fontId="31" fillId="0" borderId="33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>
      <alignment horizontal="right"/>
    </xf>
    <xf numFmtId="0" fontId="71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289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128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289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128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T10" sqref="T10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8" t="s">
        <v>0</v>
      </c>
      <c r="B1" s="149"/>
      <c r="C1" s="149"/>
      <c r="D1" s="150" t="s">
        <v>1</v>
      </c>
      <c r="E1" s="149"/>
      <c r="F1" s="149"/>
      <c r="G1" s="149"/>
      <c r="H1" s="149"/>
      <c r="I1" s="149"/>
      <c r="J1" s="149"/>
      <c r="K1" s="151" t="s">
        <v>312</v>
      </c>
      <c r="L1" s="151"/>
      <c r="M1" s="151"/>
      <c r="N1" s="151"/>
      <c r="O1" s="151"/>
      <c r="P1" s="151"/>
      <c r="Q1" s="151"/>
      <c r="R1" s="151"/>
      <c r="S1" s="151"/>
      <c r="T1" s="149"/>
      <c r="U1" s="149"/>
      <c r="V1" s="149"/>
      <c r="W1" s="151" t="s">
        <v>313</v>
      </c>
      <c r="X1" s="151"/>
      <c r="Y1" s="151"/>
      <c r="Z1" s="151"/>
      <c r="AA1" s="151"/>
      <c r="AB1" s="151"/>
      <c r="AC1" s="151"/>
      <c r="AD1" s="151"/>
      <c r="AE1" s="151"/>
      <c r="AF1" s="151"/>
      <c r="AG1" s="149"/>
      <c r="AH1" s="14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3" t="s">
        <v>4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R2" s="185" t="s">
        <v>5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5" t="s">
        <v>9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1"/>
      <c r="AS4" s="12" t="s">
        <v>10</v>
      </c>
      <c r="BE4" s="13" t="s">
        <v>11</v>
      </c>
      <c r="BS4" s="6" t="s">
        <v>12</v>
      </c>
    </row>
    <row r="5" spans="2:71" s="2" customFormat="1" ht="7.5" customHeight="1">
      <c r="B5" s="10"/>
      <c r="AQ5" s="11"/>
      <c r="BE5" s="156" t="s">
        <v>13</v>
      </c>
      <c r="BS5" s="6" t="s">
        <v>6</v>
      </c>
    </row>
    <row r="6" spans="2:71" s="2" customFormat="1" ht="26.25" customHeight="1">
      <c r="B6" s="10"/>
      <c r="D6" s="14" t="s">
        <v>14</v>
      </c>
      <c r="K6" s="159" t="s">
        <v>15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2" t="s">
        <v>322</v>
      </c>
      <c r="AQ6" s="11"/>
      <c r="BE6" s="154"/>
      <c r="BS6" s="6" t="s">
        <v>16</v>
      </c>
    </row>
    <row r="7" spans="2:71" s="2" customFormat="1" ht="7.5" customHeight="1">
      <c r="B7" s="10"/>
      <c r="AQ7" s="11"/>
      <c r="BE7" s="154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7" t="s">
        <v>21</v>
      </c>
      <c r="AQ8" s="11"/>
      <c r="BE8" s="154"/>
      <c r="BS8" s="6" t="s">
        <v>22</v>
      </c>
    </row>
    <row r="9" spans="2:71" s="2" customFormat="1" ht="15" customHeight="1">
      <c r="B9" s="10"/>
      <c r="AQ9" s="11"/>
      <c r="BE9" s="154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154"/>
      <c r="BS10" s="6" t="s">
        <v>16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154"/>
      <c r="BS11" s="6" t="s">
        <v>16</v>
      </c>
    </row>
    <row r="12" spans="2:71" s="2" customFormat="1" ht="7.5" customHeight="1">
      <c r="B12" s="10"/>
      <c r="AQ12" s="11"/>
      <c r="BE12" s="154"/>
      <c r="BS12" s="6" t="s">
        <v>16</v>
      </c>
    </row>
    <row r="13" spans="2:71" s="2" customFormat="1" ht="15" customHeight="1">
      <c r="B13" s="10"/>
      <c r="D13" s="15" t="s">
        <v>28</v>
      </c>
      <c r="AK13" s="15" t="s">
        <v>25</v>
      </c>
      <c r="AN13" s="18" t="s">
        <v>29</v>
      </c>
      <c r="AQ13" s="11"/>
      <c r="BE13" s="154"/>
      <c r="BS13" s="6" t="s">
        <v>16</v>
      </c>
    </row>
    <row r="14" spans="2:71" s="2" customFormat="1" ht="15.75" customHeight="1">
      <c r="B14" s="10"/>
      <c r="E14" s="160" t="s">
        <v>29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" t="s">
        <v>27</v>
      </c>
      <c r="AN14" s="18" t="s">
        <v>29</v>
      </c>
      <c r="AQ14" s="11"/>
      <c r="BE14" s="154"/>
      <c r="BS14" s="6" t="s">
        <v>16</v>
      </c>
    </row>
    <row r="15" spans="2:71" s="2" customFormat="1" ht="7.5" customHeight="1">
      <c r="B15" s="10"/>
      <c r="AQ15" s="11"/>
      <c r="BE15" s="154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 t="s">
        <v>31</v>
      </c>
      <c r="AQ16" s="11"/>
      <c r="BE16" s="154"/>
      <c r="BS16" s="6" t="s">
        <v>3</v>
      </c>
    </row>
    <row r="17" spans="2:71" s="2" customFormat="1" ht="19.5" customHeight="1">
      <c r="B17" s="10"/>
      <c r="E17" s="16" t="s">
        <v>32</v>
      </c>
      <c r="AK17" s="15" t="s">
        <v>27</v>
      </c>
      <c r="AN17" s="16" t="s">
        <v>33</v>
      </c>
      <c r="AQ17" s="11"/>
      <c r="BE17" s="154"/>
      <c r="BS17" s="6" t="s">
        <v>34</v>
      </c>
    </row>
    <row r="18" spans="2:71" s="2" customFormat="1" ht="7.5" customHeight="1">
      <c r="B18" s="10"/>
      <c r="AQ18" s="11"/>
      <c r="BE18" s="154"/>
      <c r="BS18" s="6" t="s">
        <v>6</v>
      </c>
    </row>
    <row r="19" spans="2:71" s="2" customFormat="1" ht="15" customHeight="1">
      <c r="B19" s="10"/>
      <c r="D19" s="15" t="s">
        <v>35</v>
      </c>
      <c r="AK19" s="15" t="s">
        <v>25</v>
      </c>
      <c r="AN19" s="16" t="s">
        <v>31</v>
      </c>
      <c r="AQ19" s="11"/>
      <c r="BE19" s="154"/>
      <c r="BS19" s="6" t="s">
        <v>16</v>
      </c>
    </row>
    <row r="20" spans="2:57" s="2" customFormat="1" ht="19.5" customHeight="1">
      <c r="B20" s="10"/>
      <c r="E20" s="16" t="s">
        <v>32</v>
      </c>
      <c r="AK20" s="15" t="s">
        <v>27</v>
      </c>
      <c r="AN20" s="16" t="s">
        <v>33</v>
      </c>
      <c r="AQ20" s="11"/>
      <c r="BE20" s="154"/>
    </row>
    <row r="21" spans="2:57" s="2" customFormat="1" ht="7.5" customHeight="1">
      <c r="B21" s="10"/>
      <c r="AQ21" s="11"/>
      <c r="BE21" s="154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54"/>
    </row>
    <row r="23" spans="2:57" s="2" customFormat="1" ht="15" customHeight="1">
      <c r="B23" s="10"/>
      <c r="D23" s="20" t="s">
        <v>36</v>
      </c>
      <c r="AK23" s="161">
        <f>ROUNDUP($AG$87,2)</f>
        <v>0</v>
      </c>
      <c r="AL23" s="154"/>
      <c r="AM23" s="154"/>
      <c r="AN23" s="154"/>
      <c r="AO23" s="154"/>
      <c r="AQ23" s="11"/>
      <c r="BE23" s="154"/>
    </row>
    <row r="24" spans="2:57" s="2" customFormat="1" ht="15" customHeight="1">
      <c r="B24" s="10"/>
      <c r="D24" s="20" t="s">
        <v>37</v>
      </c>
      <c r="AK24" s="161">
        <f>ROUNDUP($AG$90,2)</f>
        <v>0</v>
      </c>
      <c r="AL24" s="154"/>
      <c r="AM24" s="154"/>
      <c r="AN24" s="154"/>
      <c r="AO24" s="154"/>
      <c r="AQ24" s="11"/>
      <c r="BE24" s="154"/>
    </row>
    <row r="25" spans="2:57" s="6" customFormat="1" ht="7.5" customHeight="1">
      <c r="B25" s="21"/>
      <c r="AQ25" s="22"/>
      <c r="BE25" s="157"/>
    </row>
    <row r="26" spans="2:57" s="6" customFormat="1" ht="27" customHeight="1">
      <c r="B26" s="21"/>
      <c r="D26" s="23" t="s">
        <v>38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62">
        <f>ROUNDUP($AK$23+$AK$24,2)</f>
        <v>0</v>
      </c>
      <c r="AL26" s="163"/>
      <c r="AM26" s="163"/>
      <c r="AN26" s="163"/>
      <c r="AO26" s="163"/>
      <c r="AQ26" s="22"/>
      <c r="BE26" s="157"/>
    </row>
    <row r="27" spans="2:57" s="6" customFormat="1" ht="7.5" customHeight="1">
      <c r="B27" s="21"/>
      <c r="AQ27" s="22"/>
      <c r="BE27" s="157"/>
    </row>
    <row r="28" spans="2:57" s="6" customFormat="1" ht="15" customHeight="1">
      <c r="B28" s="25"/>
      <c r="D28" s="26" t="s">
        <v>39</v>
      </c>
      <c r="F28" s="26" t="s">
        <v>40</v>
      </c>
      <c r="L28" s="164">
        <v>0.21</v>
      </c>
      <c r="M28" s="158"/>
      <c r="N28" s="158"/>
      <c r="O28" s="158"/>
      <c r="T28" s="28" t="s">
        <v>41</v>
      </c>
      <c r="W28" s="165">
        <f>ROUNDUP($AZ$87+SUM($CD$91:$CD$104),2)</f>
        <v>0</v>
      </c>
      <c r="X28" s="158"/>
      <c r="Y28" s="158"/>
      <c r="Z28" s="158"/>
      <c r="AA28" s="158"/>
      <c r="AB28" s="158"/>
      <c r="AC28" s="158"/>
      <c r="AD28" s="158"/>
      <c r="AE28" s="158"/>
      <c r="AK28" s="165">
        <f>ROUNDUP($AV$87+SUM($BY$91:$BY$104),1)</f>
        <v>0</v>
      </c>
      <c r="AL28" s="158"/>
      <c r="AM28" s="158"/>
      <c r="AN28" s="158"/>
      <c r="AO28" s="158"/>
      <c r="AQ28" s="29"/>
      <c r="BE28" s="158"/>
    </row>
    <row r="29" spans="2:57" s="6" customFormat="1" ht="15" customHeight="1">
      <c r="B29" s="25"/>
      <c r="F29" s="26" t="s">
        <v>42</v>
      </c>
      <c r="L29" s="164">
        <v>0.15</v>
      </c>
      <c r="M29" s="158"/>
      <c r="N29" s="158"/>
      <c r="O29" s="158"/>
      <c r="T29" s="28" t="s">
        <v>41</v>
      </c>
      <c r="W29" s="165">
        <f>ROUNDUP($BA$87+SUM($CE$91:$CE$104),2)</f>
        <v>0</v>
      </c>
      <c r="X29" s="158"/>
      <c r="Y29" s="158"/>
      <c r="Z29" s="158"/>
      <c r="AA29" s="158"/>
      <c r="AB29" s="158"/>
      <c r="AC29" s="158"/>
      <c r="AD29" s="158"/>
      <c r="AE29" s="158"/>
      <c r="AK29" s="165">
        <f>ROUNDUP($AW$87+SUM($BZ$91:$BZ$104),1)</f>
        <v>0</v>
      </c>
      <c r="AL29" s="158"/>
      <c r="AM29" s="158"/>
      <c r="AN29" s="158"/>
      <c r="AO29" s="158"/>
      <c r="AQ29" s="29"/>
      <c r="BE29" s="158"/>
    </row>
    <row r="30" spans="2:57" s="6" customFormat="1" ht="15" customHeight="1" hidden="1">
      <c r="B30" s="25"/>
      <c r="F30" s="26" t="s">
        <v>43</v>
      </c>
      <c r="L30" s="164">
        <v>0.21</v>
      </c>
      <c r="M30" s="158"/>
      <c r="N30" s="158"/>
      <c r="O30" s="158"/>
      <c r="T30" s="28" t="s">
        <v>41</v>
      </c>
      <c r="W30" s="165">
        <f>ROUNDUP($BB$87+SUM($CF$91:$CF$104),2)</f>
        <v>0</v>
      </c>
      <c r="X30" s="158"/>
      <c r="Y30" s="158"/>
      <c r="Z30" s="158"/>
      <c r="AA30" s="158"/>
      <c r="AB30" s="158"/>
      <c r="AC30" s="158"/>
      <c r="AD30" s="158"/>
      <c r="AE30" s="158"/>
      <c r="AK30" s="165">
        <v>0</v>
      </c>
      <c r="AL30" s="158"/>
      <c r="AM30" s="158"/>
      <c r="AN30" s="158"/>
      <c r="AO30" s="158"/>
      <c r="AQ30" s="29"/>
      <c r="BE30" s="158"/>
    </row>
    <row r="31" spans="2:57" s="6" customFormat="1" ht="15" customHeight="1" hidden="1">
      <c r="B31" s="25"/>
      <c r="F31" s="26" t="s">
        <v>44</v>
      </c>
      <c r="L31" s="164">
        <v>0.15</v>
      </c>
      <c r="M31" s="158"/>
      <c r="N31" s="158"/>
      <c r="O31" s="158"/>
      <c r="T31" s="28" t="s">
        <v>41</v>
      </c>
      <c r="W31" s="165">
        <f>ROUNDUP($BC$87+SUM($CG$91:$CG$104),2)</f>
        <v>0</v>
      </c>
      <c r="X31" s="158"/>
      <c r="Y31" s="158"/>
      <c r="Z31" s="158"/>
      <c r="AA31" s="158"/>
      <c r="AB31" s="158"/>
      <c r="AC31" s="158"/>
      <c r="AD31" s="158"/>
      <c r="AE31" s="158"/>
      <c r="AK31" s="165">
        <v>0</v>
      </c>
      <c r="AL31" s="158"/>
      <c r="AM31" s="158"/>
      <c r="AN31" s="158"/>
      <c r="AO31" s="158"/>
      <c r="AQ31" s="29"/>
      <c r="BE31" s="158"/>
    </row>
    <row r="32" spans="2:57" s="6" customFormat="1" ht="15" customHeight="1" hidden="1">
      <c r="B32" s="25"/>
      <c r="F32" s="26" t="s">
        <v>45</v>
      </c>
      <c r="L32" s="164">
        <v>0</v>
      </c>
      <c r="M32" s="158"/>
      <c r="N32" s="158"/>
      <c r="O32" s="158"/>
      <c r="T32" s="28" t="s">
        <v>41</v>
      </c>
      <c r="W32" s="165">
        <f>ROUNDUP($BD$87+SUM($CH$91:$CH$104),2)</f>
        <v>0</v>
      </c>
      <c r="X32" s="158"/>
      <c r="Y32" s="158"/>
      <c r="Z32" s="158"/>
      <c r="AA32" s="158"/>
      <c r="AB32" s="158"/>
      <c r="AC32" s="158"/>
      <c r="AD32" s="158"/>
      <c r="AE32" s="158"/>
      <c r="AK32" s="165">
        <v>0</v>
      </c>
      <c r="AL32" s="158"/>
      <c r="AM32" s="158"/>
      <c r="AN32" s="158"/>
      <c r="AO32" s="158"/>
      <c r="AQ32" s="29"/>
      <c r="BE32" s="158"/>
    </row>
    <row r="33" spans="2:57" s="6" customFormat="1" ht="7.5" customHeight="1">
      <c r="B33" s="21"/>
      <c r="AQ33" s="22"/>
      <c r="BE33" s="157"/>
    </row>
    <row r="34" spans="2:57" s="6" customFormat="1" ht="27" customHeight="1">
      <c r="B34" s="21"/>
      <c r="C34" s="30"/>
      <c r="D34" s="31" t="s">
        <v>46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 t="s">
        <v>47</v>
      </c>
      <c r="U34" s="32"/>
      <c r="V34" s="32"/>
      <c r="W34" s="32"/>
      <c r="X34" s="166" t="s">
        <v>48</v>
      </c>
      <c r="Y34" s="167"/>
      <c r="Z34" s="167"/>
      <c r="AA34" s="167"/>
      <c r="AB34" s="167"/>
      <c r="AC34" s="32"/>
      <c r="AD34" s="32"/>
      <c r="AE34" s="32"/>
      <c r="AF34" s="32"/>
      <c r="AG34" s="32"/>
      <c r="AH34" s="32"/>
      <c r="AI34" s="32"/>
      <c r="AJ34" s="32"/>
      <c r="AK34" s="168">
        <f>ROUNDUP(SUM($AK$26:$AK$32),2)</f>
        <v>0</v>
      </c>
      <c r="AL34" s="167"/>
      <c r="AM34" s="167"/>
      <c r="AN34" s="167"/>
      <c r="AO34" s="169"/>
      <c r="AP34" s="30"/>
      <c r="AQ34" s="22"/>
      <c r="BE34" s="157"/>
    </row>
    <row r="35" spans="2:43" s="6" customFormat="1" ht="15" customHeight="1">
      <c r="B35" s="21"/>
      <c r="AQ35" s="22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4" t="s">
        <v>49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50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2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1"/>
      <c r="D58" s="39" t="s">
        <v>51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52</v>
      </c>
      <c r="S58" s="40"/>
      <c r="T58" s="40"/>
      <c r="U58" s="40"/>
      <c r="V58" s="40"/>
      <c r="W58" s="40"/>
      <c r="X58" s="40"/>
      <c r="Y58" s="40"/>
      <c r="Z58" s="42"/>
      <c r="AC58" s="39" t="s">
        <v>51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52</v>
      </c>
      <c r="AN58" s="40"/>
      <c r="AO58" s="42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4" t="s">
        <v>53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54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2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1"/>
      <c r="D69" s="39" t="s">
        <v>51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52</v>
      </c>
      <c r="S69" s="40"/>
      <c r="T69" s="40"/>
      <c r="U69" s="40"/>
      <c r="V69" s="40"/>
      <c r="W69" s="40"/>
      <c r="X69" s="40"/>
      <c r="Y69" s="40"/>
      <c r="Z69" s="42"/>
      <c r="AC69" s="39" t="s">
        <v>51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52</v>
      </c>
      <c r="AN69" s="40"/>
      <c r="AO69" s="42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1"/>
      <c r="C76" s="155" t="s">
        <v>55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22"/>
    </row>
    <row r="77" spans="2:43" s="6" customFormat="1" ht="7.5" customHeight="1">
      <c r="B77" s="21"/>
      <c r="AQ77" s="22"/>
    </row>
    <row r="78" spans="2:43" s="14" customFormat="1" ht="27" customHeight="1">
      <c r="B78" s="49"/>
      <c r="C78" s="14" t="s">
        <v>14</v>
      </c>
      <c r="L78" s="159" t="str">
        <f>$K$6</f>
        <v>13014 - Výměna oken bytového domu</v>
      </c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4" t="s">
        <v>322</v>
      </c>
      <c r="AQ78" s="50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5" t="s">
        <v>18</v>
      </c>
      <c r="L80" s="51" t="str">
        <f>IF($K$8="","",$K$8)</f>
        <v>Kolín II, Dělnická 806, 807</v>
      </c>
      <c r="AI80" s="15" t="s">
        <v>20</v>
      </c>
      <c r="AM80" s="52" t="str">
        <f>IF($AN$8="","",$AN$8)</f>
        <v>23.04.2013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5" t="s">
        <v>24</v>
      </c>
      <c r="L82" s="16" t="str">
        <f>IF($E$11="","",$E$11)</f>
        <v>Město Kolín</v>
      </c>
      <c r="AI82" s="15" t="s">
        <v>30</v>
      </c>
      <c r="AM82" s="170" t="str">
        <f>IF($E$17="","",$E$17)</f>
        <v>AZ PROJECT spol. s r.o., Kolín</v>
      </c>
      <c r="AN82" s="157"/>
      <c r="AO82" s="157"/>
      <c r="AP82" s="157"/>
      <c r="AQ82" s="22"/>
      <c r="AS82" s="171" t="s">
        <v>56</v>
      </c>
      <c r="AT82" s="172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1"/>
      <c r="C83" s="15" t="s">
        <v>28</v>
      </c>
      <c r="L83" s="16">
        <f>IF($E$14="Vyplň údaj","",$E$14)</f>
      </c>
      <c r="AI83" s="15" t="s">
        <v>35</v>
      </c>
      <c r="AM83" s="170" t="str">
        <f>IF($E$20="","",$E$20)</f>
        <v>AZ PROJECT spol. s r.o., Kolín</v>
      </c>
      <c r="AN83" s="157"/>
      <c r="AO83" s="157"/>
      <c r="AP83" s="157"/>
      <c r="AQ83" s="22"/>
      <c r="AS83" s="173"/>
      <c r="AT83" s="157"/>
      <c r="BD83" s="54"/>
    </row>
    <row r="84" spans="2:56" s="6" customFormat="1" ht="12" customHeight="1">
      <c r="B84" s="21"/>
      <c r="AQ84" s="22"/>
      <c r="AS84" s="173"/>
      <c r="AT84" s="157"/>
      <c r="BD84" s="54"/>
    </row>
    <row r="85" spans="2:57" s="6" customFormat="1" ht="30" customHeight="1">
      <c r="B85" s="21"/>
      <c r="C85" s="174" t="s">
        <v>57</v>
      </c>
      <c r="D85" s="167"/>
      <c r="E85" s="167"/>
      <c r="F85" s="167"/>
      <c r="G85" s="167"/>
      <c r="H85" s="32"/>
      <c r="I85" s="175" t="s">
        <v>58</v>
      </c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75" t="s">
        <v>59</v>
      </c>
      <c r="AH85" s="167"/>
      <c r="AI85" s="167"/>
      <c r="AJ85" s="167"/>
      <c r="AK85" s="167"/>
      <c r="AL85" s="167"/>
      <c r="AM85" s="167"/>
      <c r="AN85" s="175" t="s">
        <v>60</v>
      </c>
      <c r="AO85" s="167"/>
      <c r="AP85" s="169"/>
      <c r="AQ85" s="22"/>
      <c r="AS85" s="55" t="s">
        <v>61</v>
      </c>
      <c r="AT85" s="56" t="s">
        <v>62</v>
      </c>
      <c r="AU85" s="56" t="s">
        <v>63</v>
      </c>
      <c r="AV85" s="56" t="s">
        <v>64</v>
      </c>
      <c r="AW85" s="56" t="s">
        <v>65</v>
      </c>
      <c r="AX85" s="56" t="s">
        <v>66</v>
      </c>
      <c r="AY85" s="56" t="s">
        <v>67</v>
      </c>
      <c r="AZ85" s="56" t="s">
        <v>68</v>
      </c>
      <c r="BA85" s="56" t="s">
        <v>69</v>
      </c>
      <c r="BB85" s="56" t="s">
        <v>70</v>
      </c>
      <c r="BC85" s="56" t="s">
        <v>71</v>
      </c>
      <c r="BD85" s="57" t="s">
        <v>72</v>
      </c>
      <c r="BE85" s="58"/>
    </row>
    <row r="86" spans="2:56" s="6" customFormat="1" ht="12" customHeight="1">
      <c r="B86" s="21"/>
      <c r="AQ86" s="22"/>
      <c r="AS86" s="59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14" customFormat="1" ht="33" customHeight="1">
      <c r="B87" s="49"/>
      <c r="C87" s="60" t="s">
        <v>73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86">
        <f>ROUNDUP($AG$88,2)</f>
        <v>0</v>
      </c>
      <c r="AH87" s="187"/>
      <c r="AI87" s="187"/>
      <c r="AJ87" s="187"/>
      <c r="AK87" s="187"/>
      <c r="AL87" s="187"/>
      <c r="AM87" s="187"/>
      <c r="AN87" s="186">
        <f>ROUNDUP(SUM($AG$87,$AT$87),2)</f>
        <v>0</v>
      </c>
      <c r="AO87" s="187"/>
      <c r="AP87" s="187"/>
      <c r="AQ87" s="50"/>
      <c r="AS87" s="61">
        <f>ROUNDUP($AS$88,2)</f>
        <v>0</v>
      </c>
      <c r="AT87" s="62">
        <f>ROUNDUP(SUM($AV$87:$AW$87),1)</f>
        <v>0</v>
      </c>
      <c r="AU87" s="63">
        <f>ROUNDUP($AU$88,5)</f>
        <v>3923.1192</v>
      </c>
      <c r="AV87" s="62">
        <f>ROUNDUP($AZ$87*$L$28,2)</f>
        <v>0</v>
      </c>
      <c r="AW87" s="62">
        <f>ROUNDUP($BA$87*$L$29,2)</f>
        <v>0</v>
      </c>
      <c r="AX87" s="62">
        <f>ROUNDUP($BB$87*$L$28,2)</f>
        <v>0</v>
      </c>
      <c r="AY87" s="62">
        <f>ROUNDUP($BC$87*$L$29,2)</f>
        <v>0</v>
      </c>
      <c r="AZ87" s="62">
        <f>ROUNDUP($AZ$88,2)</f>
        <v>0</v>
      </c>
      <c r="BA87" s="62">
        <f>ROUNDUP($BA$88,2)</f>
        <v>0</v>
      </c>
      <c r="BB87" s="62">
        <f>ROUNDUP($BB$88,2)</f>
        <v>0</v>
      </c>
      <c r="BC87" s="62">
        <f>ROUNDUP($BC$88,2)</f>
        <v>0</v>
      </c>
      <c r="BD87" s="64">
        <f>ROUNDUP($BD$88,2)</f>
        <v>0</v>
      </c>
      <c r="BS87" s="14" t="s">
        <v>74</v>
      </c>
      <c r="BT87" s="14" t="s">
        <v>75</v>
      </c>
      <c r="BV87" s="14" t="s">
        <v>76</v>
      </c>
      <c r="BW87" s="14" t="s">
        <v>77</v>
      </c>
      <c r="BX87" s="14" t="s">
        <v>78</v>
      </c>
    </row>
    <row r="88" spans="1:76" s="65" customFormat="1" ht="28.5" customHeight="1">
      <c r="A88" s="147" t="s">
        <v>314</v>
      </c>
      <c r="B88" s="66"/>
      <c r="C88" s="67"/>
      <c r="D88" s="178" t="s">
        <v>79</v>
      </c>
      <c r="E88" s="179"/>
      <c r="F88" s="179"/>
      <c r="G88" s="179"/>
      <c r="H88" s="179"/>
      <c r="I88" s="67"/>
      <c r="J88" s="178" t="s">
        <v>80</v>
      </c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6">
        <f>'13014 - Výměna oken bytov...'!$M$26</f>
        <v>0</v>
      </c>
      <c r="AH88" s="177"/>
      <c r="AI88" s="177"/>
      <c r="AJ88" s="177"/>
      <c r="AK88" s="177"/>
      <c r="AL88" s="177"/>
      <c r="AM88" s="177"/>
      <c r="AN88" s="176">
        <f>ROUNDUP(SUM($AG$88,$AT$88),2)</f>
        <v>0</v>
      </c>
      <c r="AO88" s="177"/>
      <c r="AP88" s="177"/>
      <c r="AQ88" s="68"/>
      <c r="AS88" s="69">
        <f>'13014 - Výměna oken bytov...'!$M$24</f>
        <v>0</v>
      </c>
      <c r="AT88" s="70">
        <f>ROUNDUP(SUM($AV$88:$AW$88),1)</f>
        <v>0</v>
      </c>
      <c r="AU88" s="71">
        <f>'13014 - Výměna oken bytov...'!$W$127</f>
        <v>3923.1191910000007</v>
      </c>
      <c r="AV88" s="70">
        <f>'13014 - Výměna oken bytov...'!$M$28</f>
        <v>0</v>
      </c>
      <c r="AW88" s="70">
        <f>'13014 - Výměna oken bytov...'!$M$29</f>
        <v>0</v>
      </c>
      <c r="AX88" s="70">
        <f>'13014 - Výměna oken bytov...'!$M$30</f>
        <v>0</v>
      </c>
      <c r="AY88" s="70">
        <f>'13014 - Výměna oken bytov...'!$M$31</f>
        <v>0</v>
      </c>
      <c r="AZ88" s="70">
        <f>'13014 - Výměna oken bytov...'!$H$28</f>
        <v>0</v>
      </c>
      <c r="BA88" s="70">
        <f>'13014 - Výměna oken bytov...'!$H$29</f>
        <v>0</v>
      </c>
      <c r="BB88" s="70">
        <f>'13014 - Výměna oken bytov...'!$H$30</f>
        <v>0</v>
      </c>
      <c r="BC88" s="70">
        <f>'13014 - Výměna oken bytov...'!$H$31</f>
        <v>0</v>
      </c>
      <c r="BD88" s="72">
        <f>'13014 - Výměna oken bytov...'!$H$32</f>
        <v>0</v>
      </c>
      <c r="BT88" s="65" t="s">
        <v>17</v>
      </c>
      <c r="BU88" s="65" t="s">
        <v>81</v>
      </c>
      <c r="BV88" s="65" t="s">
        <v>76</v>
      </c>
      <c r="BW88" s="65" t="s">
        <v>77</v>
      </c>
      <c r="BX88" s="65" t="s">
        <v>78</v>
      </c>
    </row>
    <row r="89" spans="2:43" s="2" customFormat="1" ht="14.25" customHeight="1">
      <c r="B89" s="10"/>
      <c r="AQ89" s="11"/>
    </row>
    <row r="90" spans="2:49" s="6" customFormat="1" ht="30.75" customHeight="1">
      <c r="B90" s="21"/>
      <c r="C90" s="60" t="s">
        <v>82</v>
      </c>
      <c r="AG90" s="186">
        <f>ROUNDUP(SUM($AG$91:$AG$103),2)</f>
        <v>0</v>
      </c>
      <c r="AH90" s="157"/>
      <c r="AI90" s="157"/>
      <c r="AJ90" s="157"/>
      <c r="AK90" s="157"/>
      <c r="AL90" s="157"/>
      <c r="AM90" s="157"/>
      <c r="AN90" s="186">
        <f>ROUNDUP(SUM($AN$91:$AN$103),2)</f>
        <v>0</v>
      </c>
      <c r="AO90" s="157"/>
      <c r="AP90" s="157"/>
      <c r="AQ90" s="22"/>
      <c r="AS90" s="55" t="s">
        <v>83</v>
      </c>
      <c r="AT90" s="56" t="s">
        <v>84</v>
      </c>
      <c r="AU90" s="56" t="s">
        <v>39</v>
      </c>
      <c r="AV90" s="57" t="s">
        <v>62</v>
      </c>
      <c r="AW90" s="58"/>
    </row>
    <row r="91" spans="2:89" s="6" customFormat="1" ht="21" customHeight="1">
      <c r="B91" s="21"/>
      <c r="D91" s="73" t="s">
        <v>85</v>
      </c>
      <c r="AG91" s="180">
        <f>ROUNDUP($AG$87*$AS$91,2)</f>
        <v>0</v>
      </c>
      <c r="AH91" s="157"/>
      <c r="AI91" s="157"/>
      <c r="AJ91" s="157"/>
      <c r="AK91" s="157"/>
      <c r="AL91" s="157"/>
      <c r="AM91" s="157"/>
      <c r="AN91" s="181">
        <f>ROUNDUP($AG$91+$AV$91,2)</f>
        <v>0</v>
      </c>
      <c r="AO91" s="157"/>
      <c r="AP91" s="157"/>
      <c r="AQ91" s="22"/>
      <c r="AS91" s="74">
        <v>0</v>
      </c>
      <c r="AT91" s="75" t="s">
        <v>86</v>
      </c>
      <c r="AU91" s="75" t="s">
        <v>40</v>
      </c>
      <c r="AV91" s="76">
        <f>ROUNDUP(IF($AU$91="základní",$AG$91*$L$28,IF($AU$91="snížená",$AG$91*$L$29,0)),2)</f>
        <v>0</v>
      </c>
      <c r="BV91" s="6" t="s">
        <v>87</v>
      </c>
      <c r="BY91" s="77">
        <f>IF($AU$91="základní",$AV$91,0)</f>
        <v>0</v>
      </c>
      <c r="BZ91" s="77">
        <f>IF($AU$91="snížená",$AV$91,0)</f>
        <v>0</v>
      </c>
      <c r="CA91" s="77">
        <v>0</v>
      </c>
      <c r="CB91" s="77">
        <v>0</v>
      </c>
      <c r="CC91" s="77">
        <v>0</v>
      </c>
      <c r="CD91" s="77">
        <f>IF($AU$91="základní",$AG$91,0)</f>
        <v>0</v>
      </c>
      <c r="CE91" s="77">
        <f>IF($AU$91="snížená",$AG$91,0)</f>
        <v>0</v>
      </c>
      <c r="CF91" s="77">
        <f>IF($AU$91="zákl. přenesená",$AG$91,0)</f>
        <v>0</v>
      </c>
      <c r="CG91" s="77">
        <f>IF($AU$91="sníž. přenesená",$AG$91,0)</f>
        <v>0</v>
      </c>
      <c r="CH91" s="77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1"/>
      <c r="D92" s="73" t="s">
        <v>88</v>
      </c>
      <c r="AG92" s="180">
        <f>ROUNDUP($AG$87*$AS$92,2)</f>
        <v>0</v>
      </c>
      <c r="AH92" s="157"/>
      <c r="AI92" s="157"/>
      <c r="AJ92" s="157"/>
      <c r="AK92" s="157"/>
      <c r="AL92" s="157"/>
      <c r="AM92" s="157"/>
      <c r="AN92" s="181">
        <f>ROUNDUP($AG$92+$AV$92,2)</f>
        <v>0</v>
      </c>
      <c r="AO92" s="157"/>
      <c r="AP92" s="157"/>
      <c r="AQ92" s="22"/>
      <c r="AS92" s="78">
        <v>0</v>
      </c>
      <c r="AT92" s="79" t="s">
        <v>86</v>
      </c>
      <c r="AU92" s="79" t="s">
        <v>40</v>
      </c>
      <c r="AV92" s="80">
        <f>ROUNDUP(IF($AU$92="základní",$AG$92*$L$28,IF($AU$92="snížená",$AG$92*$L$29,0)),2)</f>
        <v>0</v>
      </c>
      <c r="BV92" s="6" t="s">
        <v>87</v>
      </c>
      <c r="BY92" s="77">
        <f>IF($AU$92="základní",$AV$92,0)</f>
        <v>0</v>
      </c>
      <c r="BZ92" s="77">
        <f>IF($AU$92="snížená",$AV$92,0)</f>
        <v>0</v>
      </c>
      <c r="CA92" s="77">
        <v>0</v>
      </c>
      <c r="CB92" s="77">
        <v>0</v>
      </c>
      <c r="CC92" s="77">
        <v>0</v>
      </c>
      <c r="CD92" s="77">
        <f>IF($AU$92="základní",$AG$92,0)</f>
        <v>0</v>
      </c>
      <c r="CE92" s="77">
        <f>IF($AU$92="snížená",$AG$92,0)</f>
        <v>0</v>
      </c>
      <c r="CF92" s="77">
        <f>IF($AU$92="zákl. přenesená",$AG$92,0)</f>
        <v>0</v>
      </c>
      <c r="CG92" s="77">
        <f>IF($AU$92="sníž. přenesená",$AG$92,0)</f>
        <v>0</v>
      </c>
      <c r="CH92" s="77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1"/>
      <c r="D93" s="73" t="s">
        <v>89</v>
      </c>
      <c r="AG93" s="180">
        <f>ROUNDUP($AG$87*$AS$93,2)</f>
        <v>0</v>
      </c>
      <c r="AH93" s="157"/>
      <c r="AI93" s="157"/>
      <c r="AJ93" s="157"/>
      <c r="AK93" s="157"/>
      <c r="AL93" s="157"/>
      <c r="AM93" s="157"/>
      <c r="AN93" s="181">
        <f>ROUNDUP($AG$93+$AV$93,2)</f>
        <v>0</v>
      </c>
      <c r="AO93" s="157"/>
      <c r="AP93" s="157"/>
      <c r="AQ93" s="22"/>
      <c r="AS93" s="78">
        <v>0</v>
      </c>
      <c r="AT93" s="79" t="s">
        <v>86</v>
      </c>
      <c r="AU93" s="79" t="s">
        <v>40</v>
      </c>
      <c r="AV93" s="80">
        <f>ROUNDUP(IF($AU$93="základní",$AG$93*$L$28,IF($AU$93="snížená",$AG$93*$L$29,0)),2)</f>
        <v>0</v>
      </c>
      <c r="BV93" s="6" t="s">
        <v>87</v>
      </c>
      <c r="BY93" s="77">
        <f>IF($AU$93="základní",$AV$93,0)</f>
        <v>0</v>
      </c>
      <c r="BZ93" s="77">
        <f>IF($AU$93="snížená",$AV$93,0)</f>
        <v>0</v>
      </c>
      <c r="CA93" s="77">
        <v>0</v>
      </c>
      <c r="CB93" s="77">
        <v>0</v>
      </c>
      <c r="CC93" s="77">
        <v>0</v>
      </c>
      <c r="CD93" s="77">
        <f>IF($AU$93="základní",$AG$93,0)</f>
        <v>0</v>
      </c>
      <c r="CE93" s="77">
        <f>IF($AU$93="snížená",$AG$93,0)</f>
        <v>0</v>
      </c>
      <c r="CF93" s="77">
        <f>IF($AU$93="zákl. přenesená",$AG$93,0)</f>
        <v>0</v>
      </c>
      <c r="CG93" s="77">
        <f>IF($AU$93="sníž. přenesená",$AG$93,0)</f>
        <v>0</v>
      </c>
      <c r="CH93" s="77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1"/>
      <c r="D94" s="73" t="s">
        <v>90</v>
      </c>
      <c r="AG94" s="180">
        <f>ROUNDUP($AG$87*$AS$94,2)</f>
        <v>0</v>
      </c>
      <c r="AH94" s="157"/>
      <c r="AI94" s="157"/>
      <c r="AJ94" s="157"/>
      <c r="AK94" s="157"/>
      <c r="AL94" s="157"/>
      <c r="AM94" s="157"/>
      <c r="AN94" s="181">
        <f>ROUNDUP($AG$94+$AV$94,2)</f>
        <v>0</v>
      </c>
      <c r="AO94" s="157"/>
      <c r="AP94" s="157"/>
      <c r="AQ94" s="22"/>
      <c r="AS94" s="78">
        <v>0</v>
      </c>
      <c r="AT94" s="79" t="s">
        <v>86</v>
      </c>
      <c r="AU94" s="79" t="s">
        <v>40</v>
      </c>
      <c r="AV94" s="80">
        <f>ROUNDUP(IF($AU$94="základní",$AG$94*$L$28,IF($AU$94="snížená",$AG$94*$L$29,0)),2)</f>
        <v>0</v>
      </c>
      <c r="BV94" s="6" t="s">
        <v>87</v>
      </c>
      <c r="BY94" s="77">
        <f>IF($AU$94="základní",$AV$94,0)</f>
        <v>0</v>
      </c>
      <c r="BZ94" s="77">
        <f>IF($AU$94="snížená",$AV$94,0)</f>
        <v>0</v>
      </c>
      <c r="CA94" s="77">
        <v>0</v>
      </c>
      <c r="CB94" s="77">
        <v>0</v>
      </c>
      <c r="CC94" s="77">
        <v>0</v>
      </c>
      <c r="CD94" s="77">
        <f>IF($AU$94="základní",$AG$94,0)</f>
        <v>0</v>
      </c>
      <c r="CE94" s="77">
        <f>IF($AU$94="snížená",$AG$94,0)</f>
        <v>0</v>
      </c>
      <c r="CF94" s="77">
        <f>IF($AU$94="zákl. přenesená",$AG$94,0)</f>
        <v>0</v>
      </c>
      <c r="CG94" s="77">
        <f>IF($AU$94="sníž. přenesená",$AG$94,0)</f>
        <v>0</v>
      </c>
      <c r="CH94" s="77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1"/>
      <c r="D95" s="73" t="s">
        <v>91</v>
      </c>
      <c r="AG95" s="180">
        <f>ROUNDUP($AG$87*$AS$95,2)</f>
        <v>0</v>
      </c>
      <c r="AH95" s="157"/>
      <c r="AI95" s="157"/>
      <c r="AJ95" s="157"/>
      <c r="AK95" s="157"/>
      <c r="AL95" s="157"/>
      <c r="AM95" s="157"/>
      <c r="AN95" s="181">
        <f>ROUNDUP($AG$95+$AV$95,2)</f>
        <v>0</v>
      </c>
      <c r="AO95" s="157"/>
      <c r="AP95" s="157"/>
      <c r="AQ95" s="22"/>
      <c r="AS95" s="78">
        <v>0</v>
      </c>
      <c r="AT95" s="79" t="s">
        <v>86</v>
      </c>
      <c r="AU95" s="79" t="s">
        <v>40</v>
      </c>
      <c r="AV95" s="80">
        <f>ROUNDUP(IF($AU$95="základní",$AG$95*$L$28,IF($AU$95="snížená",$AG$95*$L$29,0)),2)</f>
        <v>0</v>
      </c>
      <c r="BV95" s="6" t="s">
        <v>87</v>
      </c>
      <c r="BY95" s="77">
        <f>IF($AU$95="základní",$AV$95,0)</f>
        <v>0</v>
      </c>
      <c r="BZ95" s="77">
        <f>IF($AU$95="snížená",$AV$95,0)</f>
        <v>0</v>
      </c>
      <c r="CA95" s="77">
        <v>0</v>
      </c>
      <c r="CB95" s="77">
        <v>0</v>
      </c>
      <c r="CC95" s="77">
        <v>0</v>
      </c>
      <c r="CD95" s="77">
        <f>IF($AU$95="základní",$AG$95,0)</f>
        <v>0</v>
      </c>
      <c r="CE95" s="77">
        <f>IF($AU$95="snížená",$AG$95,0)</f>
        <v>0</v>
      </c>
      <c r="CF95" s="77">
        <f>IF($AU$95="zákl. přenesená",$AG$95,0)</f>
        <v>0</v>
      </c>
      <c r="CG95" s="77">
        <f>IF($AU$95="sníž. přenesená",$AG$95,0)</f>
        <v>0</v>
      </c>
      <c r="CH95" s="77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1"/>
      <c r="D96" s="73" t="s">
        <v>92</v>
      </c>
      <c r="AG96" s="180">
        <f>ROUNDUP($AG$87*$AS$96,2)</f>
        <v>0</v>
      </c>
      <c r="AH96" s="157"/>
      <c r="AI96" s="157"/>
      <c r="AJ96" s="157"/>
      <c r="AK96" s="157"/>
      <c r="AL96" s="157"/>
      <c r="AM96" s="157"/>
      <c r="AN96" s="181">
        <f>ROUNDUP($AG$96+$AV$96,2)</f>
        <v>0</v>
      </c>
      <c r="AO96" s="157"/>
      <c r="AP96" s="157"/>
      <c r="AQ96" s="22"/>
      <c r="AS96" s="78">
        <v>0</v>
      </c>
      <c r="AT96" s="79" t="s">
        <v>86</v>
      </c>
      <c r="AU96" s="79" t="s">
        <v>40</v>
      </c>
      <c r="AV96" s="80">
        <f>ROUNDUP(IF($AU$96="základní",$AG$96*$L$28,IF($AU$96="snížená",$AG$96*$L$29,0)),2)</f>
        <v>0</v>
      </c>
      <c r="BV96" s="6" t="s">
        <v>87</v>
      </c>
      <c r="BY96" s="77">
        <f>IF($AU$96="základní",$AV$96,0)</f>
        <v>0</v>
      </c>
      <c r="BZ96" s="77">
        <f>IF($AU$96="snížená",$AV$96,0)</f>
        <v>0</v>
      </c>
      <c r="CA96" s="77">
        <v>0</v>
      </c>
      <c r="CB96" s="77">
        <v>0</v>
      </c>
      <c r="CC96" s="77">
        <v>0</v>
      </c>
      <c r="CD96" s="77">
        <f>IF($AU$96="základní",$AG$96,0)</f>
        <v>0</v>
      </c>
      <c r="CE96" s="77">
        <f>IF($AU$96="snížená",$AG$96,0)</f>
        <v>0</v>
      </c>
      <c r="CF96" s="77">
        <f>IF($AU$96="zákl. přenesená",$AG$96,0)</f>
        <v>0</v>
      </c>
      <c r="CG96" s="77">
        <f>IF($AU$96="sníž. přenesená",$AG$96,0)</f>
        <v>0</v>
      </c>
      <c r="CH96" s="77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1"/>
      <c r="D97" s="73" t="s">
        <v>93</v>
      </c>
      <c r="AG97" s="180">
        <f>ROUNDUP($AG$87*$AS$97,2)</f>
        <v>0</v>
      </c>
      <c r="AH97" s="157"/>
      <c r="AI97" s="157"/>
      <c r="AJ97" s="157"/>
      <c r="AK97" s="157"/>
      <c r="AL97" s="157"/>
      <c r="AM97" s="157"/>
      <c r="AN97" s="181">
        <f>ROUNDUP($AG$97+$AV$97,2)</f>
        <v>0</v>
      </c>
      <c r="AO97" s="157"/>
      <c r="AP97" s="157"/>
      <c r="AQ97" s="22"/>
      <c r="AS97" s="78">
        <v>0</v>
      </c>
      <c r="AT97" s="79" t="s">
        <v>86</v>
      </c>
      <c r="AU97" s="79" t="s">
        <v>40</v>
      </c>
      <c r="AV97" s="80">
        <f>ROUNDUP(IF($AU$97="základní",$AG$97*$L$28,IF($AU$97="snížená",$AG$97*$L$29,0)),2)</f>
        <v>0</v>
      </c>
      <c r="BV97" s="6" t="s">
        <v>87</v>
      </c>
      <c r="BY97" s="77">
        <f>IF($AU$97="základní",$AV$97,0)</f>
        <v>0</v>
      </c>
      <c r="BZ97" s="77">
        <f>IF($AU$97="snížená",$AV$97,0)</f>
        <v>0</v>
      </c>
      <c r="CA97" s="77">
        <v>0</v>
      </c>
      <c r="CB97" s="77">
        <v>0</v>
      </c>
      <c r="CC97" s="77">
        <v>0</v>
      </c>
      <c r="CD97" s="77">
        <f>IF($AU$97="základní",$AG$97,0)</f>
        <v>0</v>
      </c>
      <c r="CE97" s="77">
        <f>IF($AU$97="snížená",$AG$97,0)</f>
        <v>0</v>
      </c>
      <c r="CF97" s="77">
        <f>IF($AU$97="zákl. přenesená",$AG$97,0)</f>
        <v>0</v>
      </c>
      <c r="CG97" s="77">
        <f>IF($AU$97="sníž. přenesená",$AG$97,0)</f>
        <v>0</v>
      </c>
      <c r="CH97" s="77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1"/>
      <c r="D98" s="73" t="s">
        <v>94</v>
      </c>
      <c r="AG98" s="180">
        <f>ROUNDUP($AG$87*$AS$98,2)</f>
        <v>0</v>
      </c>
      <c r="AH98" s="157"/>
      <c r="AI98" s="157"/>
      <c r="AJ98" s="157"/>
      <c r="AK98" s="157"/>
      <c r="AL98" s="157"/>
      <c r="AM98" s="157"/>
      <c r="AN98" s="181">
        <f>ROUNDUP($AG$98+$AV$98,2)</f>
        <v>0</v>
      </c>
      <c r="AO98" s="157"/>
      <c r="AP98" s="157"/>
      <c r="AQ98" s="22"/>
      <c r="AS98" s="78">
        <v>0</v>
      </c>
      <c r="AT98" s="79" t="s">
        <v>86</v>
      </c>
      <c r="AU98" s="79" t="s">
        <v>40</v>
      </c>
      <c r="AV98" s="80">
        <f>ROUNDUP(IF($AU$98="základní",$AG$98*$L$28,IF($AU$98="snížená",$AG$98*$L$29,0)),2)</f>
        <v>0</v>
      </c>
      <c r="BV98" s="6" t="s">
        <v>87</v>
      </c>
      <c r="BY98" s="77">
        <f>IF($AU$98="základní",$AV$98,0)</f>
        <v>0</v>
      </c>
      <c r="BZ98" s="77">
        <f>IF($AU$98="snížená",$AV$98,0)</f>
        <v>0</v>
      </c>
      <c r="CA98" s="77">
        <v>0</v>
      </c>
      <c r="CB98" s="77">
        <v>0</v>
      </c>
      <c r="CC98" s="77">
        <v>0</v>
      </c>
      <c r="CD98" s="77">
        <f>IF($AU$98="základní",$AG$98,0)</f>
        <v>0</v>
      </c>
      <c r="CE98" s="77">
        <f>IF($AU$98="snížená",$AG$98,0)</f>
        <v>0</v>
      </c>
      <c r="CF98" s="77">
        <f>IF($AU$98="zákl. přenesená",$AG$98,0)</f>
        <v>0</v>
      </c>
      <c r="CG98" s="77">
        <f>IF($AU$98="sníž. přenesená",$AG$98,0)</f>
        <v>0</v>
      </c>
      <c r="CH98" s="77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1"/>
      <c r="D99" s="73" t="s">
        <v>95</v>
      </c>
      <c r="AG99" s="180">
        <f>ROUNDUP($AG$87*$AS$99,2)</f>
        <v>0</v>
      </c>
      <c r="AH99" s="157"/>
      <c r="AI99" s="157"/>
      <c r="AJ99" s="157"/>
      <c r="AK99" s="157"/>
      <c r="AL99" s="157"/>
      <c r="AM99" s="157"/>
      <c r="AN99" s="181">
        <f>ROUNDUP($AG$99+$AV$99,2)</f>
        <v>0</v>
      </c>
      <c r="AO99" s="157"/>
      <c r="AP99" s="157"/>
      <c r="AQ99" s="22"/>
      <c r="AS99" s="78">
        <v>0</v>
      </c>
      <c r="AT99" s="79" t="s">
        <v>86</v>
      </c>
      <c r="AU99" s="79" t="s">
        <v>40</v>
      </c>
      <c r="AV99" s="80">
        <f>ROUNDUP(IF($AU$99="základní",$AG$99*$L$28,IF($AU$99="snížená",$AG$99*$L$29,0)),2)</f>
        <v>0</v>
      </c>
      <c r="BV99" s="6" t="s">
        <v>87</v>
      </c>
      <c r="BY99" s="77">
        <f>IF($AU$99="základní",$AV$99,0)</f>
        <v>0</v>
      </c>
      <c r="BZ99" s="77">
        <f>IF($AU$99="snížená",$AV$99,0)</f>
        <v>0</v>
      </c>
      <c r="CA99" s="77">
        <v>0</v>
      </c>
      <c r="CB99" s="77">
        <v>0</v>
      </c>
      <c r="CC99" s="77">
        <v>0</v>
      </c>
      <c r="CD99" s="77">
        <f>IF($AU$99="základní",$AG$99,0)</f>
        <v>0</v>
      </c>
      <c r="CE99" s="77">
        <f>IF($AU$99="snížená",$AG$99,0)</f>
        <v>0</v>
      </c>
      <c r="CF99" s="77">
        <f>IF($AU$99="zákl. přenesená",$AG$99,0)</f>
        <v>0</v>
      </c>
      <c r="CG99" s="77">
        <f>IF($AU$99="sníž. přenesená",$AG$99,0)</f>
        <v>0</v>
      </c>
      <c r="CH99" s="77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1"/>
      <c r="D100" s="73" t="s">
        <v>96</v>
      </c>
      <c r="AG100" s="180">
        <f>ROUNDUP($AG$87*$AS$100,2)</f>
        <v>0</v>
      </c>
      <c r="AH100" s="157"/>
      <c r="AI100" s="157"/>
      <c r="AJ100" s="157"/>
      <c r="AK100" s="157"/>
      <c r="AL100" s="157"/>
      <c r="AM100" s="157"/>
      <c r="AN100" s="181">
        <f>ROUNDUP($AG$100+$AV$100,2)</f>
        <v>0</v>
      </c>
      <c r="AO100" s="157"/>
      <c r="AP100" s="157"/>
      <c r="AQ100" s="22"/>
      <c r="AS100" s="78">
        <v>0</v>
      </c>
      <c r="AT100" s="79" t="s">
        <v>86</v>
      </c>
      <c r="AU100" s="79" t="s">
        <v>40</v>
      </c>
      <c r="AV100" s="80">
        <f>ROUNDUP(IF($AU$100="základní",$AG$100*$L$28,IF($AU$100="snížená",$AG$100*$L$29,0)),2)</f>
        <v>0</v>
      </c>
      <c r="BV100" s="6" t="s">
        <v>87</v>
      </c>
      <c r="BY100" s="77">
        <f>IF($AU$100="základní",$AV$100,0)</f>
        <v>0</v>
      </c>
      <c r="BZ100" s="77">
        <f>IF($AU$100="snížená",$AV$100,0)</f>
        <v>0</v>
      </c>
      <c r="CA100" s="77">
        <v>0</v>
      </c>
      <c r="CB100" s="77">
        <v>0</v>
      </c>
      <c r="CC100" s="77">
        <v>0</v>
      </c>
      <c r="CD100" s="77">
        <f>IF($AU$100="základní",$AG$100,0)</f>
        <v>0</v>
      </c>
      <c r="CE100" s="77">
        <f>IF($AU$100="snížená",$AG$100,0)</f>
        <v>0</v>
      </c>
      <c r="CF100" s="77">
        <f>IF($AU$100="zákl. přenesená",$AG$100,0)</f>
        <v>0</v>
      </c>
      <c r="CG100" s="77">
        <f>IF($AU$100="sníž. přenesená",$AG$100,0)</f>
        <v>0</v>
      </c>
      <c r="CH100" s="77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1"/>
      <c r="D101" s="182" t="s">
        <v>97</v>
      </c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G101" s="180">
        <f>$AG$87*$AS$101</f>
        <v>0</v>
      </c>
      <c r="AH101" s="157"/>
      <c r="AI101" s="157"/>
      <c r="AJ101" s="157"/>
      <c r="AK101" s="157"/>
      <c r="AL101" s="157"/>
      <c r="AM101" s="157"/>
      <c r="AN101" s="181">
        <f>$AG$101+$AV$101</f>
        <v>0</v>
      </c>
      <c r="AO101" s="157"/>
      <c r="AP101" s="157"/>
      <c r="AQ101" s="22"/>
      <c r="AS101" s="78">
        <v>0</v>
      </c>
      <c r="AT101" s="79" t="s">
        <v>86</v>
      </c>
      <c r="AU101" s="79" t="s">
        <v>40</v>
      </c>
      <c r="AV101" s="80">
        <f>ROUNDUP(IF($AU$101="nulová",0,IF(OR($AU$101="základní",$AU$101="zákl. přenesená"),$AG$101*$L$28,$AG$101*$L$29)),1)</f>
        <v>0</v>
      </c>
      <c r="BV101" s="6" t="s">
        <v>98</v>
      </c>
      <c r="BY101" s="77">
        <f>IF($AU$101="základní",$AV$101,0)</f>
        <v>0</v>
      </c>
      <c r="BZ101" s="77">
        <f>IF($AU$101="snížená",$AV$101,0)</f>
        <v>0</v>
      </c>
      <c r="CA101" s="77">
        <f>IF($AU$101="zákl. přenesená",$AV$101,0)</f>
        <v>0</v>
      </c>
      <c r="CB101" s="77">
        <f>IF($AU$101="sníž. přenesená",$AV$101,0)</f>
        <v>0</v>
      </c>
      <c r="CC101" s="77">
        <f>IF($AU$101="nulová",$AV$101,0)</f>
        <v>0</v>
      </c>
      <c r="CD101" s="77">
        <f>IF($AU$101="základní",$AG$101,0)</f>
        <v>0</v>
      </c>
      <c r="CE101" s="77">
        <f>IF($AU$101="snížená",$AG$101,0)</f>
        <v>0</v>
      </c>
      <c r="CF101" s="77">
        <f>IF($AU$101="zákl. přenesená",$AG$101,0)</f>
        <v>0</v>
      </c>
      <c r="CG101" s="77">
        <f>IF($AU$101="sníž. přenesená",$AG$101,0)</f>
        <v>0</v>
      </c>
      <c r="CH101" s="77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1"/>
      <c r="D102" s="182" t="s">
        <v>97</v>
      </c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G102" s="180">
        <f>$AG$87*$AS$102</f>
        <v>0</v>
      </c>
      <c r="AH102" s="157"/>
      <c r="AI102" s="157"/>
      <c r="AJ102" s="157"/>
      <c r="AK102" s="157"/>
      <c r="AL102" s="157"/>
      <c r="AM102" s="157"/>
      <c r="AN102" s="181">
        <f>$AG$102+$AV$102</f>
        <v>0</v>
      </c>
      <c r="AO102" s="157"/>
      <c r="AP102" s="157"/>
      <c r="AQ102" s="22"/>
      <c r="AS102" s="78">
        <v>0</v>
      </c>
      <c r="AT102" s="79" t="s">
        <v>86</v>
      </c>
      <c r="AU102" s="79" t="s">
        <v>40</v>
      </c>
      <c r="AV102" s="80">
        <f>ROUNDUP(IF($AU$102="nulová",0,IF(OR($AU$102="základní",$AU$102="zákl. přenesená"),$AG$102*$L$28,$AG$102*$L$29)),1)</f>
        <v>0</v>
      </c>
      <c r="BV102" s="6" t="s">
        <v>98</v>
      </c>
      <c r="BY102" s="77">
        <f>IF($AU$102="základní",$AV$102,0)</f>
        <v>0</v>
      </c>
      <c r="BZ102" s="77">
        <f>IF($AU$102="snížená",$AV$102,0)</f>
        <v>0</v>
      </c>
      <c r="CA102" s="77">
        <f>IF($AU$102="zákl. přenesená",$AV$102,0)</f>
        <v>0</v>
      </c>
      <c r="CB102" s="77">
        <f>IF($AU$102="sníž. přenesená",$AV$102,0)</f>
        <v>0</v>
      </c>
      <c r="CC102" s="77">
        <f>IF($AU$102="nulová",$AV$102,0)</f>
        <v>0</v>
      </c>
      <c r="CD102" s="77">
        <f>IF($AU$102="základní",$AG$102,0)</f>
        <v>0</v>
      </c>
      <c r="CE102" s="77">
        <f>IF($AU$102="snížená",$AG$102,0)</f>
        <v>0</v>
      </c>
      <c r="CF102" s="77">
        <f>IF($AU$102="zákl. přenesená",$AG$102,0)</f>
        <v>0</v>
      </c>
      <c r="CG102" s="77">
        <f>IF($AU$102="sníž. přenesená",$AG$102,0)</f>
        <v>0</v>
      </c>
      <c r="CH102" s="77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1"/>
      <c r="D103" s="182" t="s">
        <v>97</v>
      </c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G103" s="180">
        <f>$AG$87*$AS$103</f>
        <v>0</v>
      </c>
      <c r="AH103" s="157"/>
      <c r="AI103" s="157"/>
      <c r="AJ103" s="157"/>
      <c r="AK103" s="157"/>
      <c r="AL103" s="157"/>
      <c r="AM103" s="157"/>
      <c r="AN103" s="181">
        <f>$AG$103+$AV$103</f>
        <v>0</v>
      </c>
      <c r="AO103" s="157"/>
      <c r="AP103" s="157"/>
      <c r="AQ103" s="22"/>
      <c r="AS103" s="81">
        <v>0</v>
      </c>
      <c r="AT103" s="82" t="s">
        <v>86</v>
      </c>
      <c r="AU103" s="82" t="s">
        <v>40</v>
      </c>
      <c r="AV103" s="83">
        <f>ROUNDUP(IF($AU$103="nulová",0,IF(OR($AU$103="základní",$AU$103="zákl. přenesená"),$AG$103*$L$28,$AG$103*$L$29)),1)</f>
        <v>0</v>
      </c>
      <c r="BV103" s="6" t="s">
        <v>98</v>
      </c>
      <c r="BY103" s="77">
        <f>IF($AU$103="základní",$AV$103,0)</f>
        <v>0</v>
      </c>
      <c r="BZ103" s="77">
        <f>IF($AU$103="snížená",$AV$103,0)</f>
        <v>0</v>
      </c>
      <c r="CA103" s="77">
        <f>IF($AU$103="zákl. přenesená",$AV$103,0)</f>
        <v>0</v>
      </c>
      <c r="CB103" s="77">
        <f>IF($AU$103="sníž. přenesená",$AV$103,0)</f>
        <v>0</v>
      </c>
      <c r="CC103" s="77">
        <f>IF($AU$103="nulová",$AV$103,0)</f>
        <v>0</v>
      </c>
      <c r="CD103" s="77">
        <f>IF($AU$103="základní",$AG$103,0)</f>
        <v>0</v>
      </c>
      <c r="CE103" s="77">
        <f>IF($AU$103="snížená",$AG$103,0)</f>
        <v>0</v>
      </c>
      <c r="CF103" s="77">
        <f>IF($AU$103="zákl. přenesená",$AG$103,0)</f>
        <v>0</v>
      </c>
      <c r="CG103" s="77">
        <f>IF($AU$103="sníž. přenesená",$AG$103,0)</f>
        <v>0</v>
      </c>
      <c r="CH103" s="77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1"/>
      <c r="AQ104" s="22"/>
    </row>
    <row r="105" spans="2:43" s="6" customFormat="1" ht="30.75" customHeight="1">
      <c r="B105" s="21"/>
      <c r="C105" s="84" t="s">
        <v>99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183">
        <f>ROUNDUP($AG$87+$AG$90,2)</f>
        <v>0</v>
      </c>
      <c r="AH105" s="184"/>
      <c r="AI105" s="184"/>
      <c r="AJ105" s="184"/>
      <c r="AK105" s="184"/>
      <c r="AL105" s="184"/>
      <c r="AM105" s="184"/>
      <c r="AN105" s="183">
        <f>ROUNDUP($AN$87+$AN$90,2)</f>
        <v>0</v>
      </c>
      <c r="AO105" s="184"/>
      <c r="AP105" s="184"/>
      <c r="AQ105" s="22"/>
    </row>
    <row r="106" spans="2:43" s="6" customFormat="1" ht="7.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5"/>
    </row>
  </sheetData>
  <sheetProtection/>
  <mergeCells count="74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97:AM97"/>
    <mergeCell ref="AN97:AP97"/>
    <mergeCell ref="AG98:AM98"/>
    <mergeCell ref="AN98:AP98"/>
    <mergeCell ref="AG99:AM99"/>
    <mergeCell ref="AN99:AP99"/>
    <mergeCell ref="AG94:AM94"/>
    <mergeCell ref="AN94:AP94"/>
    <mergeCell ref="AG95:AM95"/>
    <mergeCell ref="AN95:AP95"/>
    <mergeCell ref="AG96:AM96"/>
    <mergeCell ref="AN96:AP96"/>
    <mergeCell ref="AG91:AM91"/>
    <mergeCell ref="AN91:AP91"/>
    <mergeCell ref="AG92:AM92"/>
    <mergeCell ref="AN92:AP92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3014 - Výměna oken bytov...'!C2" tooltip="13014 - Výměna oken bytov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8"/>
  <sheetViews>
    <sheetView showGridLines="0" tabSelected="1" zoomScalePageLayoutView="0" workbookViewId="0" topLeftCell="A1">
      <pane ySplit="1" topLeftCell="A177" activePane="bottomLeft" state="frozen"/>
      <selection pane="topLeft" activeCell="A1" sqref="A1"/>
      <selection pane="bottomLeft" activeCell="F184" sqref="F184:I18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2"/>
      <c r="B1" s="149"/>
      <c r="C1" s="149"/>
      <c r="D1" s="150" t="s">
        <v>1</v>
      </c>
      <c r="E1" s="149"/>
      <c r="F1" s="151" t="s">
        <v>315</v>
      </c>
      <c r="G1" s="151"/>
      <c r="H1" s="218" t="s">
        <v>316</v>
      </c>
      <c r="I1" s="218"/>
      <c r="J1" s="218"/>
      <c r="K1" s="218"/>
      <c r="L1" s="151" t="s">
        <v>317</v>
      </c>
      <c r="M1" s="149"/>
      <c r="N1" s="149"/>
      <c r="O1" s="150" t="s">
        <v>100</v>
      </c>
      <c r="P1" s="149"/>
      <c r="Q1" s="149"/>
      <c r="R1" s="149"/>
      <c r="S1" s="151" t="s">
        <v>318</v>
      </c>
      <c r="T1" s="151"/>
      <c r="U1" s="152"/>
      <c r="V1" s="15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3" t="s">
        <v>4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85" t="s">
        <v>5</v>
      </c>
      <c r="T2" s="154"/>
      <c r="U2" s="154"/>
      <c r="V2" s="154"/>
      <c r="W2" s="154"/>
      <c r="X2" s="154"/>
      <c r="Y2" s="154"/>
      <c r="Z2" s="154"/>
      <c r="AA2" s="154"/>
      <c r="AB2" s="154"/>
      <c r="AC2" s="154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17</v>
      </c>
    </row>
    <row r="4" spans="2:46" s="2" customFormat="1" ht="37.5" customHeight="1">
      <c r="B4" s="10"/>
      <c r="C4" s="155" t="s">
        <v>101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18.75" customHeight="1">
      <c r="B6" s="21"/>
      <c r="D6" s="14" t="s">
        <v>14</v>
      </c>
      <c r="F6" s="159" t="s">
        <v>15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58" t="s">
        <v>322</v>
      </c>
      <c r="R6" s="22"/>
    </row>
    <row r="7" spans="2:18" s="6" customFormat="1" ht="7.5" customHeight="1">
      <c r="B7" s="21"/>
      <c r="R7" s="22"/>
    </row>
    <row r="8" spans="2:18" s="6" customFormat="1" ht="15" customHeight="1">
      <c r="B8" s="21"/>
      <c r="D8" s="15" t="s">
        <v>18</v>
      </c>
      <c r="F8" s="16" t="s">
        <v>19</v>
      </c>
      <c r="M8" s="15" t="s">
        <v>20</v>
      </c>
      <c r="O8" s="188" t="str">
        <f>'Rekapitulace stavby'!$AN$8</f>
        <v>23.04.2013</v>
      </c>
      <c r="P8" s="157"/>
      <c r="R8" s="22"/>
    </row>
    <row r="9" spans="2:18" s="6" customFormat="1" ht="7.5" customHeight="1">
      <c r="B9" s="21"/>
      <c r="R9" s="22"/>
    </row>
    <row r="10" spans="2:18" s="6" customFormat="1" ht="15" customHeight="1">
      <c r="B10" s="21"/>
      <c r="D10" s="15" t="s">
        <v>24</v>
      </c>
      <c r="M10" s="15" t="s">
        <v>25</v>
      </c>
      <c r="O10" s="170"/>
      <c r="P10" s="157"/>
      <c r="R10" s="22"/>
    </row>
    <row r="11" spans="2:18" s="6" customFormat="1" ht="18.75" customHeight="1">
      <c r="B11" s="21"/>
      <c r="E11" s="16" t="s">
        <v>26</v>
      </c>
      <c r="M11" s="15" t="s">
        <v>27</v>
      </c>
      <c r="O11" s="170"/>
      <c r="P11" s="157"/>
      <c r="R11" s="22"/>
    </row>
    <row r="12" spans="2:18" s="6" customFormat="1" ht="7.5" customHeight="1">
      <c r="B12" s="21"/>
      <c r="R12" s="22"/>
    </row>
    <row r="13" spans="2:18" s="6" customFormat="1" ht="15" customHeight="1">
      <c r="B13" s="21"/>
      <c r="D13" s="15" t="s">
        <v>28</v>
      </c>
      <c r="M13" s="15" t="s">
        <v>25</v>
      </c>
      <c r="O13" s="189" t="str">
        <f>IF('Rekapitulace stavby'!$AN$13="","",'Rekapitulace stavby'!$AN$13)</f>
        <v>Vyplň údaj</v>
      </c>
      <c r="P13" s="157"/>
      <c r="R13" s="22"/>
    </row>
    <row r="14" spans="2:18" s="6" customFormat="1" ht="18.75" customHeight="1">
      <c r="B14" s="21"/>
      <c r="E14" s="189" t="str">
        <f>IF('Rekapitulace stavby'!$E$14="","",'Rekapitulace stavby'!$E$14)</f>
        <v>Vyplň údaj</v>
      </c>
      <c r="F14" s="157"/>
      <c r="G14" s="157"/>
      <c r="H14" s="157"/>
      <c r="I14" s="157"/>
      <c r="J14" s="157"/>
      <c r="K14" s="157"/>
      <c r="L14" s="157"/>
      <c r="M14" s="15" t="s">
        <v>27</v>
      </c>
      <c r="O14" s="189" t="str">
        <f>IF('Rekapitulace stavby'!$AN$14="","",'Rekapitulace stavby'!$AN$14)</f>
        <v>Vyplň údaj</v>
      </c>
      <c r="P14" s="157"/>
      <c r="R14" s="22"/>
    </row>
    <row r="15" spans="2:18" s="6" customFormat="1" ht="7.5" customHeight="1">
      <c r="B15" s="21"/>
      <c r="R15" s="22"/>
    </row>
    <row r="16" spans="2:18" s="6" customFormat="1" ht="15" customHeight="1">
      <c r="B16" s="21"/>
      <c r="D16" s="15" t="s">
        <v>30</v>
      </c>
      <c r="M16" s="15" t="s">
        <v>25</v>
      </c>
      <c r="O16" s="170" t="s">
        <v>31</v>
      </c>
      <c r="P16" s="157"/>
      <c r="R16" s="22"/>
    </row>
    <row r="17" spans="2:18" s="6" customFormat="1" ht="18.75" customHeight="1">
      <c r="B17" s="21"/>
      <c r="E17" s="16" t="s">
        <v>32</v>
      </c>
      <c r="M17" s="15" t="s">
        <v>27</v>
      </c>
      <c r="O17" s="170" t="s">
        <v>33</v>
      </c>
      <c r="P17" s="157"/>
      <c r="R17" s="22"/>
    </row>
    <row r="18" spans="2:18" s="6" customFormat="1" ht="7.5" customHeight="1">
      <c r="B18" s="21"/>
      <c r="R18" s="22"/>
    </row>
    <row r="19" spans="2:18" s="6" customFormat="1" ht="15" customHeight="1">
      <c r="B19" s="21"/>
      <c r="D19" s="15" t="s">
        <v>35</v>
      </c>
      <c r="M19" s="15" t="s">
        <v>25</v>
      </c>
      <c r="O19" s="170" t="s">
        <v>31</v>
      </c>
      <c r="P19" s="157"/>
      <c r="R19" s="22"/>
    </row>
    <row r="20" spans="2:18" s="6" customFormat="1" ht="18.75" customHeight="1">
      <c r="B20" s="21"/>
      <c r="E20" s="16" t="s">
        <v>32</v>
      </c>
      <c r="M20" s="15" t="s">
        <v>27</v>
      </c>
      <c r="O20" s="170" t="s">
        <v>33</v>
      </c>
      <c r="P20" s="157"/>
      <c r="R20" s="22"/>
    </row>
    <row r="21" spans="2:18" s="6" customFormat="1" ht="7.5" customHeight="1">
      <c r="B21" s="21"/>
      <c r="R21" s="22"/>
    </row>
    <row r="22" spans="2:18" s="6" customFormat="1" ht="7.5" customHeight="1">
      <c r="B22" s="2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R22" s="22"/>
    </row>
    <row r="23" spans="2:18" s="6" customFormat="1" ht="15" customHeight="1">
      <c r="B23" s="21"/>
      <c r="D23" s="85" t="s">
        <v>102</v>
      </c>
      <c r="M23" s="161">
        <f>$N$87</f>
        <v>0</v>
      </c>
      <c r="N23" s="157"/>
      <c r="O23" s="157"/>
      <c r="P23" s="157"/>
      <c r="R23" s="22"/>
    </row>
    <row r="24" spans="2:18" s="6" customFormat="1" ht="15" customHeight="1">
      <c r="B24" s="21"/>
      <c r="D24" s="20" t="s">
        <v>92</v>
      </c>
      <c r="M24" s="161">
        <f>$N$103</f>
        <v>0</v>
      </c>
      <c r="N24" s="157"/>
      <c r="O24" s="157"/>
      <c r="P24" s="157"/>
      <c r="R24" s="22"/>
    </row>
    <row r="25" spans="2:18" s="6" customFormat="1" ht="7.5" customHeight="1">
      <c r="B25" s="21"/>
      <c r="R25" s="22"/>
    </row>
    <row r="26" spans="2:18" s="6" customFormat="1" ht="26.25" customHeight="1">
      <c r="B26" s="21"/>
      <c r="D26" s="86" t="s">
        <v>38</v>
      </c>
      <c r="M26" s="190">
        <f>ROUNDUP($M$23+$M$24,2)</f>
        <v>0</v>
      </c>
      <c r="N26" s="157"/>
      <c r="O26" s="157"/>
      <c r="P26" s="157"/>
      <c r="R26" s="22"/>
    </row>
    <row r="27" spans="2:18" s="6" customFormat="1" ht="7.5" customHeight="1">
      <c r="B27" s="21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R27" s="22"/>
    </row>
    <row r="28" spans="2:18" s="6" customFormat="1" ht="15" customHeight="1">
      <c r="B28" s="21"/>
      <c r="D28" s="26" t="s">
        <v>39</v>
      </c>
      <c r="E28" s="26" t="s">
        <v>40</v>
      </c>
      <c r="F28" s="27">
        <v>0.21</v>
      </c>
      <c r="G28" s="87" t="s">
        <v>41</v>
      </c>
      <c r="H28" s="191">
        <f>ROUNDUP((((SUM($BE$103:$BE$110)+SUM($BE$127:$BE$211))+SUM($BE$213:$BE$217))),2)</f>
        <v>0</v>
      </c>
      <c r="I28" s="157"/>
      <c r="J28" s="157"/>
      <c r="M28" s="191">
        <f>ROUNDUP((((SUM($BE$103:$BE$110)+SUM($BE$127:$BE$211))*$F$28)+SUM($BE$213:$BE$217)*$F$28),1)</f>
        <v>0</v>
      </c>
      <c r="N28" s="157"/>
      <c r="O28" s="157"/>
      <c r="P28" s="157"/>
      <c r="R28" s="22"/>
    </row>
    <row r="29" spans="2:18" s="6" customFormat="1" ht="15" customHeight="1">
      <c r="B29" s="21"/>
      <c r="E29" s="26" t="s">
        <v>42</v>
      </c>
      <c r="F29" s="27">
        <v>0.15</v>
      </c>
      <c r="G29" s="87" t="s">
        <v>41</v>
      </c>
      <c r="H29" s="191">
        <f>ROUNDUP((((SUM($BF$103:$BF$110)+SUM($BF$127:$BF$211))+SUM($BF$213:$BF$217))),2)</f>
        <v>0</v>
      </c>
      <c r="I29" s="157"/>
      <c r="J29" s="157"/>
      <c r="M29" s="191">
        <f>ROUNDUP((((SUM($BF$103:$BF$110)+SUM($BF$127:$BF$211))*$F$29)+SUM($BF$213:$BF$217)*$F$29),1)</f>
        <v>0</v>
      </c>
      <c r="N29" s="157"/>
      <c r="O29" s="157"/>
      <c r="P29" s="157"/>
      <c r="R29" s="22"/>
    </row>
    <row r="30" spans="2:18" s="6" customFormat="1" ht="15" customHeight="1" hidden="1">
      <c r="B30" s="21"/>
      <c r="E30" s="26" t="s">
        <v>43</v>
      </c>
      <c r="F30" s="27">
        <v>0.21</v>
      </c>
      <c r="G30" s="87" t="s">
        <v>41</v>
      </c>
      <c r="H30" s="191">
        <f>ROUNDUP((((SUM($BG$103:$BG$110)+SUM($BG$127:$BG$211))+SUM($BG$213:$BG$217))),2)</f>
        <v>0</v>
      </c>
      <c r="I30" s="157"/>
      <c r="J30" s="157"/>
      <c r="M30" s="191">
        <v>0</v>
      </c>
      <c r="N30" s="157"/>
      <c r="O30" s="157"/>
      <c r="P30" s="157"/>
      <c r="R30" s="22"/>
    </row>
    <row r="31" spans="2:18" s="6" customFormat="1" ht="15" customHeight="1" hidden="1">
      <c r="B31" s="21"/>
      <c r="E31" s="26" t="s">
        <v>44</v>
      </c>
      <c r="F31" s="27">
        <v>0.15</v>
      </c>
      <c r="G31" s="87" t="s">
        <v>41</v>
      </c>
      <c r="H31" s="191">
        <f>ROUNDUP((((SUM($BH$103:$BH$110)+SUM($BH$127:$BH$211))+SUM($BH$213:$BH$217))),2)</f>
        <v>0</v>
      </c>
      <c r="I31" s="157"/>
      <c r="J31" s="157"/>
      <c r="M31" s="191">
        <v>0</v>
      </c>
      <c r="N31" s="157"/>
      <c r="O31" s="157"/>
      <c r="P31" s="157"/>
      <c r="R31" s="22"/>
    </row>
    <row r="32" spans="2:18" s="6" customFormat="1" ht="15" customHeight="1" hidden="1">
      <c r="B32" s="21"/>
      <c r="E32" s="26" t="s">
        <v>45</v>
      </c>
      <c r="F32" s="27">
        <v>0</v>
      </c>
      <c r="G32" s="87" t="s">
        <v>41</v>
      </c>
      <c r="H32" s="191">
        <f>ROUNDUP((((SUM($BI$103:$BI$110)+SUM($BI$127:$BI$211))+SUM($BI$213:$BI$217))),2)</f>
        <v>0</v>
      </c>
      <c r="I32" s="157"/>
      <c r="J32" s="157"/>
      <c r="M32" s="191">
        <v>0</v>
      </c>
      <c r="N32" s="157"/>
      <c r="O32" s="157"/>
      <c r="P32" s="157"/>
      <c r="R32" s="22"/>
    </row>
    <row r="33" spans="2:18" s="6" customFormat="1" ht="7.5" customHeight="1">
      <c r="B33" s="21"/>
      <c r="R33" s="22"/>
    </row>
    <row r="34" spans="2:18" s="6" customFormat="1" ht="26.25" customHeight="1">
      <c r="B34" s="21"/>
      <c r="C34" s="30"/>
      <c r="D34" s="31" t="s">
        <v>46</v>
      </c>
      <c r="E34" s="32"/>
      <c r="F34" s="32"/>
      <c r="G34" s="88" t="s">
        <v>47</v>
      </c>
      <c r="H34" s="33" t="s">
        <v>48</v>
      </c>
      <c r="I34" s="32"/>
      <c r="J34" s="32"/>
      <c r="K34" s="32"/>
      <c r="L34" s="168">
        <f>ROUNDUP(SUM($M$26:$M$32),2)</f>
        <v>0</v>
      </c>
      <c r="M34" s="167"/>
      <c r="N34" s="167"/>
      <c r="O34" s="167"/>
      <c r="P34" s="169"/>
      <c r="Q34" s="30"/>
      <c r="R34" s="22"/>
    </row>
    <row r="35" spans="2:18" s="6" customFormat="1" ht="15" customHeight="1">
      <c r="B35" s="21"/>
      <c r="R35" s="22"/>
    </row>
    <row r="36" spans="2:18" s="6" customFormat="1" ht="15" customHeight="1">
      <c r="B36" s="21"/>
      <c r="R36" s="22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49</v>
      </c>
      <c r="E50" s="35"/>
      <c r="F50" s="35"/>
      <c r="G50" s="35"/>
      <c r="H50" s="36"/>
      <c r="J50" s="34" t="s">
        <v>50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51</v>
      </c>
      <c r="E59" s="40"/>
      <c r="F59" s="40"/>
      <c r="G59" s="41" t="s">
        <v>52</v>
      </c>
      <c r="H59" s="42"/>
      <c r="J59" s="39" t="s">
        <v>51</v>
      </c>
      <c r="K59" s="40"/>
      <c r="L59" s="40"/>
      <c r="M59" s="40"/>
      <c r="N59" s="41" t="s">
        <v>52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53</v>
      </c>
      <c r="E61" s="35"/>
      <c r="F61" s="35"/>
      <c r="G61" s="35"/>
      <c r="H61" s="36"/>
      <c r="J61" s="34" t="s">
        <v>54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51</v>
      </c>
      <c r="E70" s="40"/>
      <c r="F70" s="40"/>
      <c r="G70" s="41" t="s">
        <v>52</v>
      </c>
      <c r="H70" s="42"/>
      <c r="J70" s="39" t="s">
        <v>51</v>
      </c>
      <c r="K70" s="40"/>
      <c r="L70" s="40"/>
      <c r="M70" s="40"/>
      <c r="N70" s="41" t="s">
        <v>52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55" t="s">
        <v>103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4" t="s">
        <v>14</v>
      </c>
      <c r="F78" s="159" t="str">
        <f>$F$6</f>
        <v>13014 - Výměna oken bytového domu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58" t="s">
        <v>322</v>
      </c>
      <c r="R78" s="22"/>
    </row>
    <row r="79" spans="2:18" s="6" customFormat="1" ht="7.5" customHeight="1">
      <c r="B79" s="21"/>
      <c r="R79" s="22"/>
    </row>
    <row r="80" spans="2:18" s="6" customFormat="1" ht="18.75" customHeight="1">
      <c r="B80" s="21"/>
      <c r="C80" s="15" t="s">
        <v>18</v>
      </c>
      <c r="F80" s="16" t="str">
        <f>$F$8</f>
        <v>Kolín II, Dělnická 806, 807</v>
      </c>
      <c r="K80" s="15" t="s">
        <v>20</v>
      </c>
      <c r="M80" s="192" t="str">
        <f>IF($O$8="","",$O$8)</f>
        <v>23.04.2013</v>
      </c>
      <c r="N80" s="157"/>
      <c r="O80" s="157"/>
      <c r="P80" s="157"/>
      <c r="R80" s="22"/>
    </row>
    <row r="81" spans="2:18" s="6" customFormat="1" ht="7.5" customHeight="1">
      <c r="B81" s="21"/>
      <c r="R81" s="22"/>
    </row>
    <row r="82" spans="2:18" s="6" customFormat="1" ht="15.75" customHeight="1">
      <c r="B82" s="21"/>
      <c r="C82" s="15" t="s">
        <v>24</v>
      </c>
      <c r="F82" s="16" t="str">
        <f>$E$11</f>
        <v>Město Kolín</v>
      </c>
      <c r="K82" s="15" t="s">
        <v>30</v>
      </c>
      <c r="M82" s="170" t="str">
        <f>$E$17</f>
        <v>AZ PROJECT spol. s r.o., Kolín</v>
      </c>
      <c r="N82" s="157"/>
      <c r="O82" s="157"/>
      <c r="P82" s="157"/>
      <c r="Q82" s="157"/>
      <c r="R82" s="22"/>
    </row>
    <row r="83" spans="2:18" s="6" customFormat="1" ht="15" customHeight="1">
      <c r="B83" s="21"/>
      <c r="C83" s="15" t="s">
        <v>28</v>
      </c>
      <c r="F83" s="16" t="str">
        <f>IF($E$14="","",$E$14)</f>
        <v>Vyplň údaj</v>
      </c>
      <c r="K83" s="15" t="s">
        <v>35</v>
      </c>
      <c r="M83" s="170" t="str">
        <f>$E$20</f>
        <v>AZ PROJECT spol. s r.o., Kolín</v>
      </c>
      <c r="N83" s="157"/>
      <c r="O83" s="157"/>
      <c r="P83" s="157"/>
      <c r="Q83" s="157"/>
      <c r="R83" s="22"/>
    </row>
    <row r="84" spans="2:18" s="6" customFormat="1" ht="11.25" customHeight="1">
      <c r="B84" s="21"/>
      <c r="R84" s="22"/>
    </row>
    <row r="85" spans="2:18" s="6" customFormat="1" ht="30" customHeight="1">
      <c r="B85" s="21"/>
      <c r="C85" s="193" t="s">
        <v>104</v>
      </c>
      <c r="D85" s="184"/>
      <c r="E85" s="184"/>
      <c r="F85" s="184"/>
      <c r="G85" s="184"/>
      <c r="H85" s="30"/>
      <c r="I85" s="30"/>
      <c r="J85" s="30"/>
      <c r="K85" s="30"/>
      <c r="L85" s="30"/>
      <c r="M85" s="30"/>
      <c r="N85" s="193" t="s">
        <v>105</v>
      </c>
      <c r="O85" s="157"/>
      <c r="P85" s="157"/>
      <c r="Q85" s="157"/>
      <c r="R85" s="22"/>
    </row>
    <row r="86" spans="2:18" s="6" customFormat="1" ht="11.25" customHeight="1">
      <c r="B86" s="21"/>
      <c r="R86" s="22"/>
    </row>
    <row r="87" spans="2:47" s="6" customFormat="1" ht="30" customHeight="1">
      <c r="B87" s="21"/>
      <c r="C87" s="60" t="s">
        <v>106</v>
      </c>
      <c r="N87" s="186">
        <f>ROUNDUP($N$127,2)</f>
        <v>0</v>
      </c>
      <c r="O87" s="157"/>
      <c r="P87" s="157"/>
      <c r="Q87" s="157"/>
      <c r="R87" s="22"/>
      <c r="AU87" s="6" t="s">
        <v>107</v>
      </c>
    </row>
    <row r="88" spans="2:18" s="89" customFormat="1" ht="25.5" customHeight="1">
      <c r="B88" s="90"/>
      <c r="D88" s="91" t="s">
        <v>108</v>
      </c>
      <c r="N88" s="194">
        <f>ROUNDUP($N$128,2)</f>
        <v>0</v>
      </c>
      <c r="O88" s="195"/>
      <c r="P88" s="195"/>
      <c r="Q88" s="195"/>
      <c r="R88" s="92"/>
    </row>
    <row r="89" spans="2:18" s="85" customFormat="1" ht="21" customHeight="1">
      <c r="B89" s="93"/>
      <c r="D89" s="73" t="s">
        <v>109</v>
      </c>
      <c r="N89" s="181">
        <f>ROUNDUP($N$129,2)</f>
        <v>0</v>
      </c>
      <c r="O89" s="195"/>
      <c r="P89" s="195"/>
      <c r="Q89" s="195"/>
      <c r="R89" s="94"/>
    </row>
    <row r="90" spans="2:18" s="85" customFormat="1" ht="21" customHeight="1">
      <c r="B90" s="93"/>
      <c r="D90" s="73" t="s">
        <v>110</v>
      </c>
      <c r="N90" s="181">
        <f>ROUNDUP($N$133,2)</f>
        <v>0</v>
      </c>
      <c r="O90" s="195"/>
      <c r="P90" s="195"/>
      <c r="Q90" s="195"/>
      <c r="R90" s="94"/>
    </row>
    <row r="91" spans="2:18" s="85" customFormat="1" ht="15.75" customHeight="1">
      <c r="B91" s="93"/>
      <c r="D91" s="73" t="s">
        <v>111</v>
      </c>
      <c r="N91" s="181">
        <f>ROUNDUP($N$145,2)</f>
        <v>0</v>
      </c>
      <c r="O91" s="195"/>
      <c r="P91" s="195"/>
      <c r="Q91" s="195"/>
      <c r="R91" s="94"/>
    </row>
    <row r="92" spans="2:18" s="89" customFormat="1" ht="25.5" customHeight="1">
      <c r="B92" s="90"/>
      <c r="D92" s="91" t="s">
        <v>112</v>
      </c>
      <c r="N92" s="194">
        <f>ROUNDUP($N$153,2)</f>
        <v>0</v>
      </c>
      <c r="O92" s="195"/>
      <c r="P92" s="195"/>
      <c r="Q92" s="195"/>
      <c r="R92" s="92"/>
    </row>
    <row r="93" spans="2:18" s="85" customFormat="1" ht="21" customHeight="1">
      <c r="B93" s="93"/>
      <c r="D93" s="73" t="s">
        <v>113</v>
      </c>
      <c r="N93" s="181">
        <f>ROUNDUP($N$154,2)</f>
        <v>0</v>
      </c>
      <c r="O93" s="195"/>
      <c r="P93" s="195"/>
      <c r="Q93" s="195"/>
      <c r="R93" s="94"/>
    </row>
    <row r="94" spans="2:18" s="85" customFormat="1" ht="21" customHeight="1">
      <c r="B94" s="93"/>
      <c r="D94" s="73" t="s">
        <v>114</v>
      </c>
      <c r="N94" s="181">
        <f>ROUNDUP($N$159,2)</f>
        <v>0</v>
      </c>
      <c r="O94" s="195"/>
      <c r="P94" s="195"/>
      <c r="Q94" s="195"/>
      <c r="R94" s="94"/>
    </row>
    <row r="95" spans="2:18" s="85" customFormat="1" ht="21" customHeight="1">
      <c r="B95" s="93"/>
      <c r="D95" s="73" t="s">
        <v>115</v>
      </c>
      <c r="N95" s="181">
        <f>ROUNDUP($N$177,2)</f>
        <v>0</v>
      </c>
      <c r="O95" s="195"/>
      <c r="P95" s="195"/>
      <c r="Q95" s="195"/>
      <c r="R95" s="94"/>
    </row>
    <row r="96" spans="2:18" s="85" customFormat="1" ht="21" customHeight="1">
      <c r="B96" s="93"/>
      <c r="D96" s="73" t="s">
        <v>116</v>
      </c>
      <c r="N96" s="181">
        <f>ROUNDUP($N$182,2)</f>
        <v>0</v>
      </c>
      <c r="O96" s="195"/>
      <c r="P96" s="195"/>
      <c r="Q96" s="195"/>
      <c r="R96" s="94"/>
    </row>
    <row r="97" spans="2:18" s="85" customFormat="1" ht="21" customHeight="1">
      <c r="B97" s="93"/>
      <c r="D97" s="73" t="s">
        <v>117</v>
      </c>
      <c r="N97" s="181">
        <f>ROUNDUP($N$191,2)</f>
        <v>0</v>
      </c>
      <c r="O97" s="195"/>
      <c r="P97" s="195"/>
      <c r="Q97" s="195"/>
      <c r="R97" s="94"/>
    </row>
    <row r="98" spans="2:18" s="85" customFormat="1" ht="21" customHeight="1">
      <c r="B98" s="93"/>
      <c r="D98" s="73" t="s">
        <v>118</v>
      </c>
      <c r="N98" s="181">
        <f>ROUNDUP($N$206,2)</f>
        <v>0</v>
      </c>
      <c r="O98" s="195"/>
      <c r="P98" s="195"/>
      <c r="Q98" s="195"/>
      <c r="R98" s="94"/>
    </row>
    <row r="99" spans="2:18" s="89" customFormat="1" ht="25.5" customHeight="1">
      <c r="B99" s="90"/>
      <c r="D99" s="91" t="s">
        <v>119</v>
      </c>
      <c r="N99" s="194">
        <f>ROUNDUP($N$209,2)</f>
        <v>0</v>
      </c>
      <c r="O99" s="195"/>
      <c r="P99" s="195"/>
      <c r="Q99" s="195"/>
      <c r="R99" s="92"/>
    </row>
    <row r="100" spans="2:18" s="85" customFormat="1" ht="21" customHeight="1">
      <c r="B100" s="93"/>
      <c r="D100" s="73" t="s">
        <v>120</v>
      </c>
      <c r="N100" s="181">
        <f>ROUNDUP($N$210,2)</f>
        <v>0</v>
      </c>
      <c r="O100" s="195"/>
      <c r="P100" s="195"/>
      <c r="Q100" s="195"/>
      <c r="R100" s="94"/>
    </row>
    <row r="101" spans="2:18" s="89" customFormat="1" ht="22.5" customHeight="1">
      <c r="B101" s="90"/>
      <c r="D101" s="91" t="s">
        <v>121</v>
      </c>
      <c r="N101" s="196">
        <f>$N$212</f>
        <v>0</v>
      </c>
      <c r="O101" s="195"/>
      <c r="P101" s="195"/>
      <c r="Q101" s="195"/>
      <c r="R101" s="92"/>
    </row>
    <row r="102" spans="2:18" s="6" customFormat="1" ht="22.5" customHeight="1">
      <c r="B102" s="21"/>
      <c r="R102" s="22"/>
    </row>
    <row r="103" spans="2:21" s="6" customFormat="1" ht="30" customHeight="1">
      <c r="B103" s="21"/>
      <c r="C103" s="60" t="s">
        <v>122</v>
      </c>
      <c r="N103" s="186">
        <f>ROUNDUP($N$104+$N$105+$N$106+$N$107+$N$108+$N$109,2)</f>
        <v>0</v>
      </c>
      <c r="O103" s="157"/>
      <c r="P103" s="157"/>
      <c r="Q103" s="157"/>
      <c r="R103" s="22"/>
      <c r="T103" s="95"/>
      <c r="U103" s="96" t="s">
        <v>39</v>
      </c>
    </row>
    <row r="104" spans="2:62" s="6" customFormat="1" ht="18.75" customHeight="1">
      <c r="B104" s="21"/>
      <c r="D104" s="182" t="s">
        <v>123</v>
      </c>
      <c r="E104" s="157"/>
      <c r="F104" s="157"/>
      <c r="G104" s="157"/>
      <c r="H104" s="157"/>
      <c r="N104" s="180">
        <f>ROUNDUP($N$87*$T$104,2)</f>
        <v>0</v>
      </c>
      <c r="O104" s="157"/>
      <c r="P104" s="157"/>
      <c r="Q104" s="157"/>
      <c r="R104" s="22"/>
      <c r="T104" s="97"/>
      <c r="U104" s="98" t="s">
        <v>42</v>
      </c>
      <c r="AY104" s="6" t="s">
        <v>124</v>
      </c>
      <c r="BE104" s="77">
        <f>IF($U$104="základní",$N$104,0)</f>
        <v>0</v>
      </c>
      <c r="BF104" s="77">
        <f>IF($U$104="snížená",$N$104,0)</f>
        <v>0</v>
      </c>
      <c r="BG104" s="77">
        <f>IF($U$104="zákl. přenesená",$N$104,0)</f>
        <v>0</v>
      </c>
      <c r="BH104" s="77">
        <f>IF($U$104="sníž. přenesená",$N$104,0)</f>
        <v>0</v>
      </c>
      <c r="BI104" s="77">
        <f>IF($U$104="nulová",$N$104,0)</f>
        <v>0</v>
      </c>
      <c r="BJ104" s="6" t="s">
        <v>125</v>
      </c>
    </row>
    <row r="105" spans="2:62" s="6" customFormat="1" ht="18.75" customHeight="1">
      <c r="B105" s="21"/>
      <c r="D105" s="182" t="s">
        <v>126</v>
      </c>
      <c r="E105" s="157"/>
      <c r="F105" s="157"/>
      <c r="G105" s="157"/>
      <c r="H105" s="157"/>
      <c r="N105" s="180">
        <f>ROUNDUP($N$87*$T$105,2)</f>
        <v>0</v>
      </c>
      <c r="O105" s="157"/>
      <c r="P105" s="157"/>
      <c r="Q105" s="157"/>
      <c r="R105" s="22"/>
      <c r="T105" s="97"/>
      <c r="U105" s="98" t="s">
        <v>42</v>
      </c>
      <c r="AY105" s="6" t="s">
        <v>124</v>
      </c>
      <c r="BE105" s="77">
        <f>IF($U$105="základní",$N$105,0)</f>
        <v>0</v>
      </c>
      <c r="BF105" s="77">
        <f>IF($U$105="snížená",$N$105,0)</f>
        <v>0</v>
      </c>
      <c r="BG105" s="77">
        <f>IF($U$105="zákl. přenesená",$N$105,0)</f>
        <v>0</v>
      </c>
      <c r="BH105" s="77">
        <f>IF($U$105="sníž. přenesená",$N$105,0)</f>
        <v>0</v>
      </c>
      <c r="BI105" s="77">
        <f>IF($U$105="nulová",$N$105,0)</f>
        <v>0</v>
      </c>
      <c r="BJ105" s="6" t="s">
        <v>125</v>
      </c>
    </row>
    <row r="106" spans="2:62" s="6" customFormat="1" ht="18.75" customHeight="1">
      <c r="B106" s="21"/>
      <c r="D106" s="182" t="s">
        <v>127</v>
      </c>
      <c r="E106" s="157"/>
      <c r="F106" s="157"/>
      <c r="G106" s="157"/>
      <c r="H106" s="157"/>
      <c r="N106" s="180">
        <f>ROUNDUP($N$87*$T$106,2)</f>
        <v>0</v>
      </c>
      <c r="O106" s="157"/>
      <c r="P106" s="157"/>
      <c r="Q106" s="157"/>
      <c r="R106" s="22"/>
      <c r="T106" s="97"/>
      <c r="U106" s="98" t="s">
        <v>42</v>
      </c>
      <c r="AY106" s="6" t="s">
        <v>124</v>
      </c>
      <c r="BE106" s="77">
        <f>IF($U$106="základní",$N$106,0)</f>
        <v>0</v>
      </c>
      <c r="BF106" s="77">
        <f>IF($U$106="snížená",$N$106,0)</f>
        <v>0</v>
      </c>
      <c r="BG106" s="77">
        <f>IF($U$106="zákl. přenesená",$N$106,0)</f>
        <v>0</v>
      </c>
      <c r="BH106" s="77">
        <f>IF($U$106="sníž. přenesená",$N$106,0)</f>
        <v>0</v>
      </c>
      <c r="BI106" s="77">
        <f>IF($U$106="nulová",$N$106,0)</f>
        <v>0</v>
      </c>
      <c r="BJ106" s="6" t="s">
        <v>125</v>
      </c>
    </row>
    <row r="107" spans="2:62" s="6" customFormat="1" ht="18.75" customHeight="1">
      <c r="B107" s="21"/>
      <c r="D107" s="182" t="s">
        <v>128</v>
      </c>
      <c r="E107" s="157"/>
      <c r="F107" s="157"/>
      <c r="G107" s="157"/>
      <c r="H107" s="157"/>
      <c r="N107" s="180">
        <f>ROUNDUP($N$87*$T$107,2)</f>
        <v>0</v>
      </c>
      <c r="O107" s="157"/>
      <c r="P107" s="157"/>
      <c r="Q107" s="157"/>
      <c r="R107" s="22"/>
      <c r="T107" s="97"/>
      <c r="U107" s="98" t="s">
        <v>42</v>
      </c>
      <c r="AY107" s="6" t="s">
        <v>124</v>
      </c>
      <c r="BE107" s="77">
        <f>IF($U$107="základní",$N$107,0)</f>
        <v>0</v>
      </c>
      <c r="BF107" s="77">
        <f>IF($U$107="snížená",$N$107,0)</f>
        <v>0</v>
      </c>
      <c r="BG107" s="77">
        <f>IF($U$107="zákl. přenesená",$N$107,0)</f>
        <v>0</v>
      </c>
      <c r="BH107" s="77">
        <f>IF($U$107="sníž. přenesená",$N$107,0)</f>
        <v>0</v>
      </c>
      <c r="BI107" s="77">
        <f>IF($U$107="nulová",$N$107,0)</f>
        <v>0</v>
      </c>
      <c r="BJ107" s="6" t="s">
        <v>125</v>
      </c>
    </row>
    <row r="108" spans="2:62" s="6" customFormat="1" ht="18.75" customHeight="1">
      <c r="B108" s="21"/>
      <c r="D108" s="182" t="s">
        <v>129</v>
      </c>
      <c r="E108" s="157"/>
      <c r="F108" s="157"/>
      <c r="G108" s="157"/>
      <c r="H108" s="157"/>
      <c r="N108" s="180">
        <f>ROUNDUP($N$87*$T$108,2)</f>
        <v>0</v>
      </c>
      <c r="O108" s="157"/>
      <c r="P108" s="157"/>
      <c r="Q108" s="157"/>
      <c r="R108" s="22"/>
      <c r="T108" s="97"/>
      <c r="U108" s="98" t="s">
        <v>42</v>
      </c>
      <c r="AY108" s="6" t="s">
        <v>124</v>
      </c>
      <c r="BE108" s="77">
        <f>IF($U$108="základní",$N$108,0)</f>
        <v>0</v>
      </c>
      <c r="BF108" s="77">
        <f>IF($U$108="snížená",$N$108,0)</f>
        <v>0</v>
      </c>
      <c r="BG108" s="77">
        <f>IF($U$108="zákl. přenesená",$N$108,0)</f>
        <v>0</v>
      </c>
      <c r="BH108" s="77">
        <f>IF($U$108="sníž. přenesená",$N$108,0)</f>
        <v>0</v>
      </c>
      <c r="BI108" s="77">
        <f>IF($U$108="nulová",$N$108,0)</f>
        <v>0</v>
      </c>
      <c r="BJ108" s="6" t="s">
        <v>125</v>
      </c>
    </row>
    <row r="109" spans="2:62" s="6" customFormat="1" ht="18.75" customHeight="1">
      <c r="B109" s="21"/>
      <c r="D109" s="73" t="s">
        <v>130</v>
      </c>
      <c r="N109" s="180">
        <f>ROUNDUP($N$87*$T$109,2)</f>
        <v>0</v>
      </c>
      <c r="O109" s="157"/>
      <c r="P109" s="157"/>
      <c r="Q109" s="157"/>
      <c r="R109" s="22"/>
      <c r="T109" s="99"/>
      <c r="U109" s="100" t="s">
        <v>42</v>
      </c>
      <c r="AY109" s="6" t="s">
        <v>131</v>
      </c>
      <c r="BE109" s="77">
        <f>IF($U$109="základní",$N$109,0)</f>
        <v>0</v>
      </c>
      <c r="BF109" s="77">
        <f>IF($U$109="snížená",$N$109,0)</f>
        <v>0</v>
      </c>
      <c r="BG109" s="77">
        <f>IF($U$109="zákl. přenesená",$N$109,0)</f>
        <v>0</v>
      </c>
      <c r="BH109" s="77">
        <f>IF($U$109="sníž. přenesená",$N$109,0)</f>
        <v>0</v>
      </c>
      <c r="BI109" s="77">
        <f>IF($U$109="nulová",$N$109,0)</f>
        <v>0</v>
      </c>
      <c r="BJ109" s="6" t="s">
        <v>125</v>
      </c>
    </row>
    <row r="110" spans="2:18" s="6" customFormat="1" ht="14.25" customHeight="1">
      <c r="B110" s="21"/>
      <c r="R110" s="22"/>
    </row>
    <row r="111" spans="2:18" s="6" customFormat="1" ht="30" customHeight="1">
      <c r="B111" s="21"/>
      <c r="C111" s="84" t="s">
        <v>99</v>
      </c>
      <c r="D111" s="30"/>
      <c r="E111" s="30"/>
      <c r="F111" s="30"/>
      <c r="G111" s="30"/>
      <c r="H111" s="30"/>
      <c r="I111" s="30"/>
      <c r="J111" s="30"/>
      <c r="K111" s="30"/>
      <c r="L111" s="183">
        <f>ROUNDUP(SUM($N$87+$N$103),2)</f>
        <v>0</v>
      </c>
      <c r="M111" s="184"/>
      <c r="N111" s="184"/>
      <c r="O111" s="184"/>
      <c r="P111" s="184"/>
      <c r="Q111" s="184"/>
      <c r="R111" s="22"/>
    </row>
    <row r="112" spans="2:18" s="6" customFormat="1" ht="7.5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5"/>
    </row>
    <row r="116" spans="2:18" s="6" customFormat="1" ht="7.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pans="2:18" s="6" customFormat="1" ht="37.5" customHeight="1">
      <c r="B117" s="21"/>
      <c r="C117" s="155" t="s">
        <v>132</v>
      </c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22"/>
    </row>
    <row r="118" spans="2:18" s="6" customFormat="1" ht="7.5" customHeight="1">
      <c r="B118" s="21"/>
      <c r="R118" s="22"/>
    </row>
    <row r="119" spans="2:18" s="6" customFormat="1" ht="15" customHeight="1">
      <c r="B119" s="21"/>
      <c r="C119" s="14" t="s">
        <v>14</v>
      </c>
      <c r="F119" s="159" t="str">
        <f>$F$6</f>
        <v>13014 - Výměna oken bytového domu</v>
      </c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58" t="s">
        <v>322</v>
      </c>
      <c r="R119" s="22"/>
    </row>
    <row r="120" spans="2:18" s="6" customFormat="1" ht="7.5" customHeight="1">
      <c r="B120" s="21"/>
      <c r="R120" s="22"/>
    </row>
    <row r="121" spans="2:18" s="6" customFormat="1" ht="18.75" customHeight="1">
      <c r="B121" s="21"/>
      <c r="C121" s="15" t="s">
        <v>18</v>
      </c>
      <c r="F121" s="16" t="str">
        <f>$F$8</f>
        <v>Kolín II, Dělnická 806, 807</v>
      </c>
      <c r="K121" s="15" t="s">
        <v>20</v>
      </c>
      <c r="M121" s="192" t="str">
        <f>IF($O$8="","",$O$8)</f>
        <v>23.04.2013</v>
      </c>
      <c r="N121" s="157"/>
      <c r="O121" s="157"/>
      <c r="P121" s="157"/>
      <c r="R121" s="22"/>
    </row>
    <row r="122" spans="2:18" s="6" customFormat="1" ht="7.5" customHeight="1">
      <c r="B122" s="21"/>
      <c r="R122" s="22"/>
    </row>
    <row r="123" spans="2:18" s="6" customFormat="1" ht="15.75" customHeight="1">
      <c r="B123" s="21"/>
      <c r="C123" s="15" t="s">
        <v>24</v>
      </c>
      <c r="F123" s="16" t="str">
        <f>$E$11</f>
        <v>Město Kolín</v>
      </c>
      <c r="K123" s="15" t="s">
        <v>30</v>
      </c>
      <c r="M123" s="170" t="str">
        <f>$E$17</f>
        <v>AZ PROJECT spol. s r.o., Kolín</v>
      </c>
      <c r="N123" s="157"/>
      <c r="O123" s="157"/>
      <c r="P123" s="157"/>
      <c r="Q123" s="157"/>
      <c r="R123" s="22"/>
    </row>
    <row r="124" spans="2:18" s="6" customFormat="1" ht="15" customHeight="1">
      <c r="B124" s="21"/>
      <c r="C124" s="15" t="s">
        <v>28</v>
      </c>
      <c r="F124" s="16" t="str">
        <f>IF($E$14="","",$E$14)</f>
        <v>Vyplň údaj</v>
      </c>
      <c r="K124" s="15" t="s">
        <v>35</v>
      </c>
      <c r="M124" s="170" t="str">
        <f>$E$20</f>
        <v>AZ PROJECT spol. s r.o., Kolín</v>
      </c>
      <c r="N124" s="157"/>
      <c r="O124" s="157"/>
      <c r="P124" s="157"/>
      <c r="Q124" s="157"/>
      <c r="R124" s="22"/>
    </row>
    <row r="125" spans="2:18" s="6" customFormat="1" ht="11.25" customHeight="1">
      <c r="B125" s="21"/>
      <c r="R125" s="22"/>
    </row>
    <row r="126" spans="2:27" s="101" customFormat="1" ht="30" customHeight="1">
      <c r="B126" s="102"/>
      <c r="C126" s="103" t="s">
        <v>133</v>
      </c>
      <c r="D126" s="104" t="s">
        <v>134</v>
      </c>
      <c r="E126" s="104" t="s">
        <v>57</v>
      </c>
      <c r="F126" s="197" t="s">
        <v>135</v>
      </c>
      <c r="G126" s="198"/>
      <c r="H126" s="198"/>
      <c r="I126" s="198"/>
      <c r="J126" s="104" t="s">
        <v>136</v>
      </c>
      <c r="K126" s="104" t="s">
        <v>137</v>
      </c>
      <c r="L126" s="197" t="s">
        <v>138</v>
      </c>
      <c r="M126" s="198"/>
      <c r="N126" s="197" t="s">
        <v>139</v>
      </c>
      <c r="O126" s="198"/>
      <c r="P126" s="198"/>
      <c r="Q126" s="199"/>
      <c r="R126" s="105"/>
      <c r="T126" s="55" t="s">
        <v>140</v>
      </c>
      <c r="U126" s="56" t="s">
        <v>39</v>
      </c>
      <c r="V126" s="56" t="s">
        <v>141</v>
      </c>
      <c r="W126" s="56" t="s">
        <v>142</v>
      </c>
      <c r="X126" s="56" t="s">
        <v>143</v>
      </c>
      <c r="Y126" s="56" t="s">
        <v>144</v>
      </c>
      <c r="Z126" s="56" t="s">
        <v>145</v>
      </c>
      <c r="AA126" s="57" t="s">
        <v>146</v>
      </c>
    </row>
    <row r="127" spans="2:63" s="6" customFormat="1" ht="30" customHeight="1">
      <c r="B127" s="21"/>
      <c r="C127" s="60" t="s">
        <v>102</v>
      </c>
      <c r="N127" s="217">
        <f>$BK$127</f>
        <v>0</v>
      </c>
      <c r="O127" s="157"/>
      <c r="P127" s="157"/>
      <c r="Q127" s="157"/>
      <c r="R127" s="22"/>
      <c r="T127" s="59"/>
      <c r="U127" s="35"/>
      <c r="V127" s="35"/>
      <c r="W127" s="106">
        <f>$W$128+$W$153+$W$209+$W$212</f>
        <v>3923.1191910000007</v>
      </c>
      <c r="X127" s="35"/>
      <c r="Y127" s="106">
        <f>$Y$128+$Y$153+$Y$209+$Y$212</f>
        <v>10.84516475</v>
      </c>
      <c r="Z127" s="35"/>
      <c r="AA127" s="107">
        <f>$AA$128+$AA$153+$AA$209+$AA$212</f>
        <v>39.666116</v>
      </c>
      <c r="AT127" s="6" t="s">
        <v>74</v>
      </c>
      <c r="AU127" s="6" t="s">
        <v>107</v>
      </c>
      <c r="BK127" s="108">
        <f>$BK$128+$BK$153+$BK$209+$BK$212</f>
        <v>0</v>
      </c>
    </row>
    <row r="128" spans="2:63" s="109" customFormat="1" ht="37.5" customHeight="1">
      <c r="B128" s="110"/>
      <c r="D128" s="111" t="s">
        <v>108</v>
      </c>
      <c r="N128" s="196">
        <f>$BK$128</f>
        <v>0</v>
      </c>
      <c r="O128" s="209"/>
      <c r="P128" s="209"/>
      <c r="Q128" s="209"/>
      <c r="R128" s="113"/>
      <c r="T128" s="114"/>
      <c r="W128" s="115">
        <f>$W$129+$W$133</f>
        <v>1237.833703</v>
      </c>
      <c r="Y128" s="115">
        <f>$Y$129+$Y$133</f>
        <v>0.524433</v>
      </c>
      <c r="AA128" s="116">
        <f>$AA$129+$AA$133</f>
        <v>36.032187</v>
      </c>
      <c r="AR128" s="112" t="s">
        <v>17</v>
      </c>
      <c r="AT128" s="112" t="s">
        <v>74</v>
      </c>
      <c r="AU128" s="112" t="s">
        <v>75</v>
      </c>
      <c r="AY128" s="112" t="s">
        <v>147</v>
      </c>
      <c r="BK128" s="117">
        <f>$BK$129+$BK$133</f>
        <v>0</v>
      </c>
    </row>
    <row r="129" spans="2:63" s="109" customFormat="1" ht="21" customHeight="1">
      <c r="B129" s="110"/>
      <c r="D129" s="118" t="s">
        <v>109</v>
      </c>
      <c r="N129" s="208">
        <f>$BK$129</f>
        <v>0</v>
      </c>
      <c r="O129" s="209"/>
      <c r="P129" s="209"/>
      <c r="Q129" s="209"/>
      <c r="R129" s="113"/>
      <c r="T129" s="114"/>
      <c r="W129" s="115">
        <f>SUM($W$130:$W$132)</f>
        <v>214.91469999999998</v>
      </c>
      <c r="Y129" s="115">
        <f>SUM($Y$130:$Y$132)</f>
        <v>0.524433</v>
      </c>
      <c r="AA129" s="116">
        <f>SUM($AA$130:$AA$132)</f>
        <v>0</v>
      </c>
      <c r="AR129" s="112" t="s">
        <v>17</v>
      </c>
      <c r="AT129" s="112" t="s">
        <v>74</v>
      </c>
      <c r="AU129" s="112" t="s">
        <v>17</v>
      </c>
      <c r="AY129" s="112" t="s">
        <v>147</v>
      </c>
      <c r="BK129" s="117">
        <f>SUM($BK$130:$BK$132)</f>
        <v>0</v>
      </c>
    </row>
    <row r="130" spans="2:64" s="6" customFormat="1" ht="39" customHeight="1">
      <c r="B130" s="21"/>
      <c r="C130" s="119" t="s">
        <v>17</v>
      </c>
      <c r="D130" s="119" t="s">
        <v>148</v>
      </c>
      <c r="E130" s="120" t="s">
        <v>149</v>
      </c>
      <c r="F130" s="200" t="s">
        <v>150</v>
      </c>
      <c r="G130" s="201"/>
      <c r="H130" s="201"/>
      <c r="I130" s="201"/>
      <c r="J130" s="121" t="s">
        <v>151</v>
      </c>
      <c r="K130" s="122">
        <v>1028.3</v>
      </c>
      <c r="L130" s="202">
        <v>0</v>
      </c>
      <c r="M130" s="201"/>
      <c r="N130" s="203">
        <f>ROUND($L$130*$K$130,2)</f>
        <v>0</v>
      </c>
      <c r="O130" s="201"/>
      <c r="P130" s="201"/>
      <c r="Q130" s="201"/>
      <c r="R130" s="22"/>
      <c r="T130" s="123"/>
      <c r="U130" s="28" t="s">
        <v>42</v>
      </c>
      <c r="V130" s="124">
        <v>0.209</v>
      </c>
      <c r="W130" s="124">
        <f>$V$130*$K$130</f>
        <v>214.91469999999998</v>
      </c>
      <c r="X130" s="124">
        <v>0.00051</v>
      </c>
      <c r="Y130" s="124">
        <f>$X$130*$K$130</f>
        <v>0.524433</v>
      </c>
      <c r="Z130" s="124">
        <v>0</v>
      </c>
      <c r="AA130" s="125">
        <f>$Z$130*$K$130</f>
        <v>0</v>
      </c>
      <c r="AR130" s="6" t="s">
        <v>152</v>
      </c>
      <c r="AT130" s="6" t="s">
        <v>148</v>
      </c>
      <c r="AU130" s="6" t="s">
        <v>125</v>
      </c>
      <c r="AY130" s="6" t="s">
        <v>147</v>
      </c>
      <c r="BE130" s="77">
        <f>IF($U$130="základní",$N$130,0)</f>
        <v>0</v>
      </c>
      <c r="BF130" s="77">
        <f>IF($U$130="snížená",$N$130,0)</f>
        <v>0</v>
      </c>
      <c r="BG130" s="77">
        <f>IF($U$130="zákl. přenesená",$N$130,0)</f>
        <v>0</v>
      </c>
      <c r="BH130" s="77">
        <f>IF($U$130="sníž. přenesená",$N$130,0)</f>
        <v>0</v>
      </c>
      <c r="BI130" s="77">
        <f>IF($U$130="nulová",$N$130,0)</f>
        <v>0</v>
      </c>
      <c r="BJ130" s="6" t="s">
        <v>125</v>
      </c>
      <c r="BK130" s="77">
        <f>ROUND($L$130*$K$130,2)</f>
        <v>0</v>
      </c>
      <c r="BL130" s="6" t="s">
        <v>152</v>
      </c>
    </row>
    <row r="131" spans="2:51" s="6" customFormat="1" ht="15.75" customHeight="1">
      <c r="B131" s="126"/>
      <c r="E131" s="127"/>
      <c r="F131" s="204" t="s">
        <v>153</v>
      </c>
      <c r="G131" s="205"/>
      <c r="H131" s="205"/>
      <c r="I131" s="205"/>
      <c r="K131" s="128">
        <v>1028.3</v>
      </c>
      <c r="R131" s="129"/>
      <c r="T131" s="130"/>
      <c r="AA131" s="131"/>
      <c r="AT131" s="127" t="s">
        <v>154</v>
      </c>
      <c r="AU131" s="127" t="s">
        <v>125</v>
      </c>
      <c r="AV131" s="127" t="s">
        <v>125</v>
      </c>
      <c r="AW131" s="127" t="s">
        <v>107</v>
      </c>
      <c r="AX131" s="127" t="s">
        <v>17</v>
      </c>
      <c r="AY131" s="127" t="s">
        <v>147</v>
      </c>
    </row>
    <row r="132" spans="2:51" s="6" customFormat="1" ht="15.75" customHeight="1">
      <c r="B132" s="132"/>
      <c r="E132" s="133"/>
      <c r="F132" s="206" t="s">
        <v>155</v>
      </c>
      <c r="G132" s="207"/>
      <c r="H132" s="207"/>
      <c r="I132" s="207"/>
      <c r="K132" s="134">
        <v>1028.3</v>
      </c>
      <c r="R132" s="135"/>
      <c r="T132" s="136"/>
      <c r="AA132" s="137"/>
      <c r="AT132" s="133" t="s">
        <v>154</v>
      </c>
      <c r="AU132" s="133" t="s">
        <v>125</v>
      </c>
      <c r="AV132" s="133" t="s">
        <v>152</v>
      </c>
      <c r="AW132" s="133" t="s">
        <v>107</v>
      </c>
      <c r="AX132" s="133" t="s">
        <v>75</v>
      </c>
      <c r="AY132" s="133" t="s">
        <v>147</v>
      </c>
    </row>
    <row r="133" spans="2:63" s="109" customFormat="1" ht="30.75" customHeight="1">
      <c r="B133" s="110"/>
      <c r="D133" s="118" t="s">
        <v>110</v>
      </c>
      <c r="N133" s="208">
        <f>$BK$133</f>
        <v>0</v>
      </c>
      <c r="O133" s="209"/>
      <c r="P133" s="209"/>
      <c r="Q133" s="209"/>
      <c r="R133" s="113"/>
      <c r="T133" s="114"/>
      <c r="W133" s="115">
        <f>$W$134+SUM($W$135:$W$145)</f>
        <v>1022.919003</v>
      </c>
      <c r="Y133" s="115">
        <f>$Y$134+SUM($Y$135:$Y$145)</f>
        <v>0</v>
      </c>
      <c r="AA133" s="116">
        <f>$AA$134+SUM($AA$135:$AA$145)</f>
        <v>36.032187</v>
      </c>
      <c r="AR133" s="112" t="s">
        <v>17</v>
      </c>
      <c r="AT133" s="112" t="s">
        <v>74</v>
      </c>
      <c r="AU133" s="112" t="s">
        <v>17</v>
      </c>
      <c r="AY133" s="112" t="s">
        <v>147</v>
      </c>
      <c r="BK133" s="117">
        <f>$BK$134+SUM($BK$135:$BK$145)</f>
        <v>0</v>
      </c>
    </row>
    <row r="134" spans="2:64" s="6" customFormat="1" ht="15.75" customHeight="1">
      <c r="B134" s="21"/>
      <c r="C134" s="119" t="s">
        <v>125</v>
      </c>
      <c r="D134" s="119" t="s">
        <v>148</v>
      </c>
      <c r="E134" s="120" t="s">
        <v>156</v>
      </c>
      <c r="F134" s="200" t="s">
        <v>157</v>
      </c>
      <c r="G134" s="201"/>
      <c r="H134" s="201"/>
      <c r="I134" s="201"/>
      <c r="J134" s="121" t="s">
        <v>158</v>
      </c>
      <c r="K134" s="122">
        <v>378.56</v>
      </c>
      <c r="L134" s="202">
        <v>0</v>
      </c>
      <c r="M134" s="201"/>
      <c r="N134" s="203">
        <f>ROUND($L$134*$K$134,2)</f>
        <v>0</v>
      </c>
      <c r="O134" s="201"/>
      <c r="P134" s="201"/>
      <c r="Q134" s="201"/>
      <c r="R134" s="22"/>
      <c r="T134" s="123"/>
      <c r="U134" s="28" t="s">
        <v>42</v>
      </c>
      <c r="V134" s="124">
        <v>0.014</v>
      </c>
      <c r="W134" s="124">
        <f>$V$134*$K$134</f>
        <v>5.2998400000000006</v>
      </c>
      <c r="X134" s="124">
        <v>0</v>
      </c>
      <c r="Y134" s="124">
        <f>$X$134*$K$134</f>
        <v>0</v>
      </c>
      <c r="Z134" s="124">
        <v>0</v>
      </c>
      <c r="AA134" s="125">
        <f>$Z$134*$K$134</f>
        <v>0</v>
      </c>
      <c r="AR134" s="6" t="s">
        <v>152</v>
      </c>
      <c r="AT134" s="6" t="s">
        <v>148</v>
      </c>
      <c r="AU134" s="6" t="s">
        <v>125</v>
      </c>
      <c r="AY134" s="6" t="s">
        <v>147</v>
      </c>
      <c r="BE134" s="77">
        <f>IF($U$134="základní",$N$134,0)</f>
        <v>0</v>
      </c>
      <c r="BF134" s="77">
        <f>IF($U$134="snížená",$N$134,0)</f>
        <v>0</v>
      </c>
      <c r="BG134" s="77">
        <f>IF($U$134="zákl. přenesená",$N$134,0)</f>
        <v>0</v>
      </c>
      <c r="BH134" s="77">
        <f>IF($U$134="sníž. přenesená",$N$134,0)</f>
        <v>0</v>
      </c>
      <c r="BI134" s="77">
        <f>IF($U$134="nulová",$N$134,0)</f>
        <v>0</v>
      </c>
      <c r="BJ134" s="6" t="s">
        <v>125</v>
      </c>
      <c r="BK134" s="77">
        <f>ROUND($L$134*$K$134,2)</f>
        <v>0</v>
      </c>
      <c r="BL134" s="6" t="s">
        <v>152</v>
      </c>
    </row>
    <row r="135" spans="2:51" s="6" customFormat="1" ht="15.75" customHeight="1">
      <c r="B135" s="126"/>
      <c r="E135" s="127"/>
      <c r="F135" s="204" t="s">
        <v>159</v>
      </c>
      <c r="G135" s="205"/>
      <c r="H135" s="205"/>
      <c r="I135" s="205"/>
      <c r="K135" s="128">
        <v>378.56</v>
      </c>
      <c r="R135" s="129"/>
      <c r="T135" s="130"/>
      <c r="AA135" s="131"/>
      <c r="AT135" s="127" t="s">
        <v>154</v>
      </c>
      <c r="AU135" s="127" t="s">
        <v>125</v>
      </c>
      <c r="AV135" s="127" t="s">
        <v>125</v>
      </c>
      <c r="AW135" s="127" t="s">
        <v>107</v>
      </c>
      <c r="AX135" s="127" t="s">
        <v>17</v>
      </c>
      <c r="AY135" s="127" t="s">
        <v>147</v>
      </c>
    </row>
    <row r="136" spans="2:64" s="6" customFormat="1" ht="27" customHeight="1">
      <c r="B136" s="21"/>
      <c r="C136" s="119" t="s">
        <v>160</v>
      </c>
      <c r="D136" s="119" t="s">
        <v>148</v>
      </c>
      <c r="E136" s="120" t="s">
        <v>161</v>
      </c>
      <c r="F136" s="200" t="s">
        <v>162</v>
      </c>
      <c r="G136" s="201"/>
      <c r="H136" s="201"/>
      <c r="I136" s="201"/>
      <c r="J136" s="121" t="s">
        <v>151</v>
      </c>
      <c r="K136" s="122">
        <v>1028.3</v>
      </c>
      <c r="L136" s="202">
        <v>0</v>
      </c>
      <c r="M136" s="201"/>
      <c r="N136" s="203">
        <f>ROUND($L$136*$K$136,2)</f>
        <v>0</v>
      </c>
      <c r="O136" s="201"/>
      <c r="P136" s="201"/>
      <c r="Q136" s="201"/>
      <c r="R136" s="22"/>
      <c r="T136" s="123"/>
      <c r="U136" s="28" t="s">
        <v>42</v>
      </c>
      <c r="V136" s="124">
        <v>0.623</v>
      </c>
      <c r="W136" s="124">
        <f>$V$136*$K$136</f>
        <v>640.6309</v>
      </c>
      <c r="X136" s="124">
        <v>0</v>
      </c>
      <c r="Y136" s="124">
        <f>$X$136*$K$136</f>
        <v>0</v>
      </c>
      <c r="Z136" s="124">
        <v>0</v>
      </c>
      <c r="AA136" s="125">
        <f>$Z$136*$K$136</f>
        <v>0</v>
      </c>
      <c r="AR136" s="6" t="s">
        <v>152</v>
      </c>
      <c r="AT136" s="6" t="s">
        <v>148</v>
      </c>
      <c r="AU136" s="6" t="s">
        <v>125</v>
      </c>
      <c r="AY136" s="6" t="s">
        <v>147</v>
      </c>
      <c r="BE136" s="77">
        <f>IF($U$136="základní",$N$136,0)</f>
        <v>0</v>
      </c>
      <c r="BF136" s="77">
        <f>IF($U$136="snížená",$N$136,0)</f>
        <v>0</v>
      </c>
      <c r="BG136" s="77">
        <f>IF($U$136="zákl. přenesená",$N$136,0)</f>
        <v>0</v>
      </c>
      <c r="BH136" s="77">
        <f>IF($U$136="sníž. přenesená",$N$136,0)</f>
        <v>0</v>
      </c>
      <c r="BI136" s="77">
        <f>IF($U$136="nulová",$N$136,0)</f>
        <v>0</v>
      </c>
      <c r="BJ136" s="6" t="s">
        <v>125</v>
      </c>
      <c r="BK136" s="77">
        <f>ROUND($L$136*$K$136,2)</f>
        <v>0</v>
      </c>
      <c r="BL136" s="6" t="s">
        <v>152</v>
      </c>
    </row>
    <row r="137" spans="2:64" s="6" customFormat="1" ht="27" customHeight="1">
      <c r="B137" s="21"/>
      <c r="C137" s="119" t="s">
        <v>152</v>
      </c>
      <c r="D137" s="119" t="s">
        <v>148</v>
      </c>
      <c r="E137" s="120" t="s">
        <v>163</v>
      </c>
      <c r="F137" s="200" t="s">
        <v>164</v>
      </c>
      <c r="G137" s="201"/>
      <c r="H137" s="201"/>
      <c r="I137" s="201"/>
      <c r="J137" s="121" t="s">
        <v>158</v>
      </c>
      <c r="K137" s="122">
        <v>29.25</v>
      </c>
      <c r="L137" s="202">
        <v>0</v>
      </c>
      <c r="M137" s="201"/>
      <c r="N137" s="203">
        <f>ROUND($L$137*$K$137,2)</f>
        <v>0</v>
      </c>
      <c r="O137" s="201"/>
      <c r="P137" s="201"/>
      <c r="Q137" s="201"/>
      <c r="R137" s="22"/>
      <c r="T137" s="123"/>
      <c r="U137" s="28" t="s">
        <v>42</v>
      </c>
      <c r="V137" s="124">
        <v>0.383</v>
      </c>
      <c r="W137" s="124">
        <f>$V$137*$K$137</f>
        <v>11.20275</v>
      </c>
      <c r="X137" s="124">
        <v>0</v>
      </c>
      <c r="Y137" s="124">
        <f>$X$137*$K$137</f>
        <v>0</v>
      </c>
      <c r="Z137" s="124">
        <v>0.034</v>
      </c>
      <c r="AA137" s="125">
        <f>$Z$137*$K$137</f>
        <v>0.9945</v>
      </c>
      <c r="AR137" s="6" t="s">
        <v>152</v>
      </c>
      <c r="AT137" s="6" t="s">
        <v>148</v>
      </c>
      <c r="AU137" s="6" t="s">
        <v>125</v>
      </c>
      <c r="AY137" s="6" t="s">
        <v>147</v>
      </c>
      <c r="BE137" s="77">
        <f>IF($U$137="základní",$N$137,0)</f>
        <v>0</v>
      </c>
      <c r="BF137" s="77">
        <f>IF($U$137="snížená",$N$137,0)</f>
        <v>0</v>
      </c>
      <c r="BG137" s="77">
        <f>IF($U$137="zákl. přenesená",$N$137,0)</f>
        <v>0</v>
      </c>
      <c r="BH137" s="77">
        <f>IF($U$137="sníž. přenesená",$N$137,0)</f>
        <v>0</v>
      </c>
      <c r="BI137" s="77">
        <f>IF($U$137="nulová",$N$137,0)</f>
        <v>0</v>
      </c>
      <c r="BJ137" s="6" t="s">
        <v>125</v>
      </c>
      <c r="BK137" s="77">
        <f>ROUND($L$137*$K$137,2)</f>
        <v>0</v>
      </c>
      <c r="BL137" s="6" t="s">
        <v>152</v>
      </c>
    </row>
    <row r="138" spans="2:51" s="6" customFormat="1" ht="15.75" customHeight="1">
      <c r="B138" s="126"/>
      <c r="E138" s="127"/>
      <c r="F138" s="204" t="s">
        <v>165</v>
      </c>
      <c r="G138" s="205"/>
      <c r="H138" s="205"/>
      <c r="I138" s="205"/>
      <c r="K138" s="128">
        <v>29.25</v>
      </c>
      <c r="R138" s="129"/>
      <c r="T138" s="130"/>
      <c r="AA138" s="131"/>
      <c r="AT138" s="127" t="s">
        <v>154</v>
      </c>
      <c r="AU138" s="127" t="s">
        <v>125</v>
      </c>
      <c r="AV138" s="127" t="s">
        <v>125</v>
      </c>
      <c r="AW138" s="127" t="s">
        <v>107</v>
      </c>
      <c r="AX138" s="127" t="s">
        <v>17</v>
      </c>
      <c r="AY138" s="127" t="s">
        <v>147</v>
      </c>
    </row>
    <row r="139" spans="2:64" s="6" customFormat="1" ht="27" customHeight="1">
      <c r="B139" s="21"/>
      <c r="C139" s="119" t="s">
        <v>166</v>
      </c>
      <c r="D139" s="119" t="s">
        <v>148</v>
      </c>
      <c r="E139" s="120" t="s">
        <v>167</v>
      </c>
      <c r="F139" s="200" t="s">
        <v>168</v>
      </c>
      <c r="G139" s="201"/>
      <c r="H139" s="201"/>
      <c r="I139" s="201"/>
      <c r="J139" s="121" t="s">
        <v>158</v>
      </c>
      <c r="K139" s="122">
        <v>678.038</v>
      </c>
      <c r="L139" s="202">
        <v>0</v>
      </c>
      <c r="M139" s="201"/>
      <c r="N139" s="203">
        <f>ROUND($L$139*$K$139,2)</f>
        <v>0</v>
      </c>
      <c r="O139" s="201"/>
      <c r="P139" s="201"/>
      <c r="Q139" s="201"/>
      <c r="R139" s="22"/>
      <c r="T139" s="123"/>
      <c r="U139" s="28" t="s">
        <v>42</v>
      </c>
      <c r="V139" s="124">
        <v>0.325</v>
      </c>
      <c r="W139" s="124">
        <f>$V$139*$K$139</f>
        <v>220.36235000000002</v>
      </c>
      <c r="X139" s="124">
        <v>0</v>
      </c>
      <c r="Y139" s="124">
        <f>$X$139*$K$139</f>
        <v>0</v>
      </c>
      <c r="Z139" s="124">
        <v>0.032</v>
      </c>
      <c r="AA139" s="125">
        <f>$Z$139*$K$139</f>
        <v>21.697216</v>
      </c>
      <c r="AR139" s="6" t="s">
        <v>152</v>
      </c>
      <c r="AT139" s="6" t="s">
        <v>148</v>
      </c>
      <c r="AU139" s="6" t="s">
        <v>125</v>
      </c>
      <c r="AY139" s="6" t="s">
        <v>147</v>
      </c>
      <c r="BE139" s="77">
        <f>IF($U$139="základní",$N$139,0)</f>
        <v>0</v>
      </c>
      <c r="BF139" s="77">
        <f>IF($U$139="snížená",$N$139,0)</f>
        <v>0</v>
      </c>
      <c r="BG139" s="77">
        <f>IF($U$139="zákl. přenesená",$N$139,0)</f>
        <v>0</v>
      </c>
      <c r="BH139" s="77">
        <f>IF($U$139="sníž. přenesená",$N$139,0)</f>
        <v>0</v>
      </c>
      <c r="BI139" s="77">
        <f>IF($U$139="nulová",$N$139,0)</f>
        <v>0</v>
      </c>
      <c r="BJ139" s="6" t="s">
        <v>125</v>
      </c>
      <c r="BK139" s="77">
        <f>ROUND($L$139*$K$139,2)</f>
        <v>0</v>
      </c>
      <c r="BL139" s="6" t="s">
        <v>152</v>
      </c>
    </row>
    <row r="140" spans="2:51" s="6" customFormat="1" ht="15.75" customHeight="1">
      <c r="B140" s="126"/>
      <c r="E140" s="127"/>
      <c r="F140" s="204" t="s">
        <v>169</v>
      </c>
      <c r="G140" s="205"/>
      <c r="H140" s="205"/>
      <c r="I140" s="205"/>
      <c r="K140" s="128">
        <v>678.038</v>
      </c>
      <c r="R140" s="129"/>
      <c r="T140" s="130"/>
      <c r="AA140" s="131"/>
      <c r="AT140" s="127" t="s">
        <v>154</v>
      </c>
      <c r="AU140" s="127" t="s">
        <v>125</v>
      </c>
      <c r="AV140" s="127" t="s">
        <v>125</v>
      </c>
      <c r="AW140" s="127" t="s">
        <v>107</v>
      </c>
      <c r="AX140" s="127" t="s">
        <v>17</v>
      </c>
      <c r="AY140" s="127" t="s">
        <v>147</v>
      </c>
    </row>
    <row r="141" spans="2:64" s="6" customFormat="1" ht="27" customHeight="1">
      <c r="B141" s="21"/>
      <c r="C141" s="119" t="s">
        <v>170</v>
      </c>
      <c r="D141" s="119" t="s">
        <v>148</v>
      </c>
      <c r="E141" s="120" t="s">
        <v>171</v>
      </c>
      <c r="F141" s="200" t="s">
        <v>172</v>
      </c>
      <c r="G141" s="201"/>
      <c r="H141" s="201"/>
      <c r="I141" s="201"/>
      <c r="J141" s="121" t="s">
        <v>158</v>
      </c>
      <c r="K141" s="122">
        <v>56.25</v>
      </c>
      <c r="L141" s="202">
        <v>0</v>
      </c>
      <c r="M141" s="201"/>
      <c r="N141" s="203">
        <f>ROUND($L$141*$K$141,2)</f>
        <v>0</v>
      </c>
      <c r="O141" s="201"/>
      <c r="P141" s="201"/>
      <c r="Q141" s="201"/>
      <c r="R141" s="22"/>
      <c r="T141" s="123"/>
      <c r="U141" s="28" t="s">
        <v>42</v>
      </c>
      <c r="V141" s="124">
        <v>0.7</v>
      </c>
      <c r="W141" s="124">
        <f>$V$141*$K$141</f>
        <v>39.375</v>
      </c>
      <c r="X141" s="124">
        <v>0</v>
      </c>
      <c r="Y141" s="124">
        <f>$X$141*$K$141</f>
        <v>0</v>
      </c>
      <c r="Z141" s="124">
        <v>0.048</v>
      </c>
      <c r="AA141" s="125">
        <f>$Z$141*$K$141</f>
        <v>2.7</v>
      </c>
      <c r="AR141" s="6" t="s">
        <v>152</v>
      </c>
      <c r="AT141" s="6" t="s">
        <v>148</v>
      </c>
      <c r="AU141" s="6" t="s">
        <v>125</v>
      </c>
      <c r="AY141" s="6" t="s">
        <v>147</v>
      </c>
      <c r="BE141" s="77">
        <f>IF($U$141="základní",$N$141,0)</f>
        <v>0</v>
      </c>
      <c r="BF141" s="77">
        <f>IF($U$141="snížená",$N$141,0)</f>
        <v>0</v>
      </c>
      <c r="BG141" s="77">
        <f>IF($U$141="zákl. přenesená",$N$141,0)</f>
        <v>0</v>
      </c>
      <c r="BH141" s="77">
        <f>IF($U$141="sníž. přenesená",$N$141,0)</f>
        <v>0</v>
      </c>
      <c r="BI141" s="77">
        <f>IF($U$141="nulová",$N$141,0)</f>
        <v>0</v>
      </c>
      <c r="BJ141" s="6" t="s">
        <v>125</v>
      </c>
      <c r="BK141" s="77">
        <f>ROUND($L$141*$K$141,2)</f>
        <v>0</v>
      </c>
      <c r="BL141" s="6" t="s">
        <v>152</v>
      </c>
    </row>
    <row r="142" spans="2:51" s="6" customFormat="1" ht="15.75" customHeight="1">
      <c r="B142" s="126"/>
      <c r="E142" s="127"/>
      <c r="F142" s="204" t="s">
        <v>173</v>
      </c>
      <c r="G142" s="205"/>
      <c r="H142" s="205"/>
      <c r="I142" s="205"/>
      <c r="K142" s="128">
        <v>56.25</v>
      </c>
      <c r="R142" s="129"/>
      <c r="T142" s="130"/>
      <c r="AA142" s="131"/>
      <c r="AT142" s="127" t="s">
        <v>154</v>
      </c>
      <c r="AU142" s="127" t="s">
        <v>125</v>
      </c>
      <c r="AV142" s="127" t="s">
        <v>125</v>
      </c>
      <c r="AW142" s="127" t="s">
        <v>107</v>
      </c>
      <c r="AX142" s="127" t="s">
        <v>17</v>
      </c>
      <c r="AY142" s="127" t="s">
        <v>147</v>
      </c>
    </row>
    <row r="143" spans="2:64" s="6" customFormat="1" ht="27" customHeight="1">
      <c r="B143" s="21"/>
      <c r="C143" s="119" t="s">
        <v>174</v>
      </c>
      <c r="D143" s="119" t="s">
        <v>148</v>
      </c>
      <c r="E143" s="120" t="s">
        <v>175</v>
      </c>
      <c r="F143" s="200" t="s">
        <v>176</v>
      </c>
      <c r="G143" s="201"/>
      <c r="H143" s="201"/>
      <c r="I143" s="201"/>
      <c r="J143" s="121" t="s">
        <v>158</v>
      </c>
      <c r="K143" s="122">
        <v>158.813</v>
      </c>
      <c r="L143" s="202">
        <v>0</v>
      </c>
      <c r="M143" s="201"/>
      <c r="N143" s="203">
        <f>ROUND($L$143*$K$143,2)</f>
        <v>0</v>
      </c>
      <c r="O143" s="201"/>
      <c r="P143" s="201"/>
      <c r="Q143" s="201"/>
      <c r="R143" s="22"/>
      <c r="T143" s="123"/>
      <c r="U143" s="28" t="s">
        <v>42</v>
      </c>
      <c r="V143" s="124">
        <v>0.576</v>
      </c>
      <c r="W143" s="124">
        <f>$V$143*$K$143</f>
        <v>91.47628799999998</v>
      </c>
      <c r="X143" s="124">
        <v>0</v>
      </c>
      <c r="Y143" s="124">
        <f>$X$143*$K$143</f>
        <v>0</v>
      </c>
      <c r="Z143" s="124">
        <v>0.067</v>
      </c>
      <c r="AA143" s="125">
        <f>$Z$143*$K$143</f>
        <v>10.640471</v>
      </c>
      <c r="AR143" s="6" t="s">
        <v>152</v>
      </c>
      <c r="AT143" s="6" t="s">
        <v>148</v>
      </c>
      <c r="AU143" s="6" t="s">
        <v>125</v>
      </c>
      <c r="AY143" s="6" t="s">
        <v>147</v>
      </c>
      <c r="BE143" s="77">
        <f>IF($U$143="základní",$N$143,0)</f>
        <v>0</v>
      </c>
      <c r="BF143" s="77">
        <f>IF($U$143="snížená",$N$143,0)</f>
        <v>0</v>
      </c>
      <c r="BG143" s="77">
        <f>IF($U$143="zákl. přenesená",$N$143,0)</f>
        <v>0</v>
      </c>
      <c r="BH143" s="77">
        <f>IF($U$143="sníž. přenesená",$N$143,0)</f>
        <v>0</v>
      </c>
      <c r="BI143" s="77">
        <f>IF($U$143="nulová",$N$143,0)</f>
        <v>0</v>
      </c>
      <c r="BJ143" s="6" t="s">
        <v>125</v>
      </c>
      <c r="BK143" s="77">
        <f>ROUND($L$143*$K$143,2)</f>
        <v>0</v>
      </c>
      <c r="BL143" s="6" t="s">
        <v>152</v>
      </c>
    </row>
    <row r="144" spans="2:51" s="6" customFormat="1" ht="15.75" customHeight="1">
      <c r="B144" s="126"/>
      <c r="E144" s="127"/>
      <c r="F144" s="204" t="s">
        <v>177</v>
      </c>
      <c r="G144" s="205"/>
      <c r="H144" s="205"/>
      <c r="I144" s="205"/>
      <c r="K144" s="128">
        <v>158.813</v>
      </c>
      <c r="R144" s="129"/>
      <c r="T144" s="130"/>
      <c r="AA144" s="131"/>
      <c r="AT144" s="127" t="s">
        <v>154</v>
      </c>
      <c r="AU144" s="127" t="s">
        <v>125</v>
      </c>
      <c r="AV144" s="127" t="s">
        <v>125</v>
      </c>
      <c r="AW144" s="127" t="s">
        <v>107</v>
      </c>
      <c r="AX144" s="127" t="s">
        <v>17</v>
      </c>
      <c r="AY144" s="127" t="s">
        <v>147</v>
      </c>
    </row>
    <row r="145" spans="2:63" s="109" customFormat="1" ht="23.25" customHeight="1">
      <c r="B145" s="110"/>
      <c r="D145" s="118" t="s">
        <v>111</v>
      </c>
      <c r="N145" s="208">
        <f>$BK$145</f>
        <v>0</v>
      </c>
      <c r="O145" s="209"/>
      <c r="P145" s="209"/>
      <c r="Q145" s="209"/>
      <c r="R145" s="113"/>
      <c r="T145" s="114"/>
      <c r="W145" s="115">
        <f>SUM($W$146:$W$152)</f>
        <v>14.571875</v>
      </c>
      <c r="Y145" s="115">
        <f>SUM($Y$146:$Y$152)</f>
        <v>0</v>
      </c>
      <c r="AA145" s="116">
        <f>SUM($AA$146:$AA$152)</f>
        <v>0</v>
      </c>
      <c r="AR145" s="112" t="s">
        <v>17</v>
      </c>
      <c r="AT145" s="112" t="s">
        <v>74</v>
      </c>
      <c r="AU145" s="112" t="s">
        <v>125</v>
      </c>
      <c r="AY145" s="112" t="s">
        <v>147</v>
      </c>
      <c r="BK145" s="117">
        <f>SUM($BK$146:$BK$152)</f>
        <v>0</v>
      </c>
    </row>
    <row r="146" spans="2:64" s="6" customFormat="1" ht="15.75" customHeight="1">
      <c r="B146" s="21"/>
      <c r="C146" s="119" t="s">
        <v>178</v>
      </c>
      <c r="D146" s="119" t="s">
        <v>148</v>
      </c>
      <c r="E146" s="120" t="s">
        <v>179</v>
      </c>
      <c r="F146" s="200" t="s">
        <v>180</v>
      </c>
      <c r="G146" s="201"/>
      <c r="H146" s="201"/>
      <c r="I146" s="201"/>
      <c r="J146" s="121" t="s">
        <v>181</v>
      </c>
      <c r="K146" s="122">
        <v>38.543</v>
      </c>
      <c r="L146" s="202">
        <v>0</v>
      </c>
      <c r="M146" s="201"/>
      <c r="N146" s="203">
        <f>ROUND($L$146*$K$146,2)</f>
        <v>0</v>
      </c>
      <c r="O146" s="201"/>
      <c r="P146" s="201"/>
      <c r="Q146" s="201"/>
      <c r="R146" s="22"/>
      <c r="T146" s="123"/>
      <c r="U146" s="28" t="s">
        <v>42</v>
      </c>
      <c r="V146" s="124">
        <v>0.136</v>
      </c>
      <c r="W146" s="124">
        <f>$V$146*$K$146</f>
        <v>5.241848</v>
      </c>
      <c r="X146" s="124">
        <v>0</v>
      </c>
      <c r="Y146" s="124">
        <f>$X$146*$K$146</f>
        <v>0</v>
      </c>
      <c r="Z146" s="124">
        <v>0</v>
      </c>
      <c r="AA146" s="125">
        <f>$Z$146*$K$146</f>
        <v>0</v>
      </c>
      <c r="AR146" s="6" t="s">
        <v>152</v>
      </c>
      <c r="AT146" s="6" t="s">
        <v>148</v>
      </c>
      <c r="AU146" s="6" t="s">
        <v>160</v>
      </c>
      <c r="AY146" s="6" t="s">
        <v>147</v>
      </c>
      <c r="BE146" s="77">
        <f>IF($U$146="základní",$N$146,0)</f>
        <v>0</v>
      </c>
      <c r="BF146" s="77">
        <f>IF($U$146="snížená",$N$146,0)</f>
        <v>0</v>
      </c>
      <c r="BG146" s="77">
        <f>IF($U$146="zákl. přenesená",$N$146,0)</f>
        <v>0</v>
      </c>
      <c r="BH146" s="77">
        <f>IF($U$146="sníž. přenesená",$N$146,0)</f>
        <v>0</v>
      </c>
      <c r="BI146" s="77">
        <f>IF($U$146="nulová",$N$146,0)</f>
        <v>0</v>
      </c>
      <c r="BJ146" s="6" t="s">
        <v>125</v>
      </c>
      <c r="BK146" s="77">
        <f>ROUND($L$146*$K$146,2)</f>
        <v>0</v>
      </c>
      <c r="BL146" s="6" t="s">
        <v>152</v>
      </c>
    </row>
    <row r="147" spans="2:64" s="6" customFormat="1" ht="27" customHeight="1">
      <c r="B147" s="21"/>
      <c r="C147" s="119" t="s">
        <v>182</v>
      </c>
      <c r="D147" s="119" t="s">
        <v>148</v>
      </c>
      <c r="E147" s="120" t="s">
        <v>183</v>
      </c>
      <c r="F147" s="200" t="s">
        <v>184</v>
      </c>
      <c r="G147" s="201"/>
      <c r="H147" s="201"/>
      <c r="I147" s="201"/>
      <c r="J147" s="121" t="s">
        <v>181</v>
      </c>
      <c r="K147" s="122">
        <v>38.543</v>
      </c>
      <c r="L147" s="202">
        <v>0</v>
      </c>
      <c r="M147" s="201"/>
      <c r="N147" s="203">
        <f>ROUND($L$147*$K$147,2)</f>
        <v>0</v>
      </c>
      <c r="O147" s="201"/>
      <c r="P147" s="201"/>
      <c r="Q147" s="201"/>
      <c r="R147" s="22"/>
      <c r="T147" s="123"/>
      <c r="U147" s="28" t="s">
        <v>42</v>
      </c>
      <c r="V147" s="124">
        <v>0.125</v>
      </c>
      <c r="W147" s="124">
        <f>$V$147*$K$147</f>
        <v>4.817875</v>
      </c>
      <c r="X147" s="124">
        <v>0</v>
      </c>
      <c r="Y147" s="124">
        <f>$X$147*$K$147</f>
        <v>0</v>
      </c>
      <c r="Z147" s="124">
        <v>0</v>
      </c>
      <c r="AA147" s="125">
        <f>$Z$147*$K$147</f>
        <v>0</v>
      </c>
      <c r="AR147" s="6" t="s">
        <v>152</v>
      </c>
      <c r="AT147" s="6" t="s">
        <v>148</v>
      </c>
      <c r="AU147" s="6" t="s">
        <v>160</v>
      </c>
      <c r="AY147" s="6" t="s">
        <v>147</v>
      </c>
      <c r="BE147" s="77">
        <f>IF($U$147="základní",$N$147,0)</f>
        <v>0</v>
      </c>
      <c r="BF147" s="77">
        <f>IF($U$147="snížená",$N$147,0)</f>
        <v>0</v>
      </c>
      <c r="BG147" s="77">
        <f>IF($U$147="zákl. přenesená",$N$147,0)</f>
        <v>0</v>
      </c>
      <c r="BH147" s="77">
        <f>IF($U$147="sníž. přenesená",$N$147,0)</f>
        <v>0</v>
      </c>
      <c r="BI147" s="77">
        <f>IF($U$147="nulová",$N$147,0)</f>
        <v>0</v>
      </c>
      <c r="BJ147" s="6" t="s">
        <v>125</v>
      </c>
      <c r="BK147" s="77">
        <f>ROUND($L$147*$K$147,2)</f>
        <v>0</v>
      </c>
      <c r="BL147" s="6" t="s">
        <v>152</v>
      </c>
    </row>
    <row r="148" spans="2:64" s="6" customFormat="1" ht="27" customHeight="1">
      <c r="B148" s="21"/>
      <c r="C148" s="119" t="s">
        <v>22</v>
      </c>
      <c r="D148" s="119" t="s">
        <v>148</v>
      </c>
      <c r="E148" s="120" t="s">
        <v>185</v>
      </c>
      <c r="F148" s="200" t="s">
        <v>186</v>
      </c>
      <c r="G148" s="201"/>
      <c r="H148" s="201"/>
      <c r="I148" s="201"/>
      <c r="J148" s="121" t="s">
        <v>181</v>
      </c>
      <c r="K148" s="122">
        <v>693.774</v>
      </c>
      <c r="L148" s="202">
        <v>0</v>
      </c>
      <c r="M148" s="201"/>
      <c r="N148" s="203">
        <f>ROUND($L$148*$K$148,2)</f>
        <v>0</v>
      </c>
      <c r="O148" s="201"/>
      <c r="P148" s="201"/>
      <c r="Q148" s="201"/>
      <c r="R148" s="22"/>
      <c r="T148" s="123"/>
      <c r="U148" s="28" t="s">
        <v>42</v>
      </c>
      <c r="V148" s="124">
        <v>0.006</v>
      </c>
      <c r="W148" s="124">
        <f>$V$148*$K$148</f>
        <v>4.162644</v>
      </c>
      <c r="X148" s="124">
        <v>0</v>
      </c>
      <c r="Y148" s="124">
        <f>$X$148*$K$148</f>
        <v>0</v>
      </c>
      <c r="Z148" s="124">
        <v>0</v>
      </c>
      <c r="AA148" s="125">
        <f>$Z$148*$K$148</f>
        <v>0</v>
      </c>
      <c r="AR148" s="6" t="s">
        <v>152</v>
      </c>
      <c r="AT148" s="6" t="s">
        <v>148</v>
      </c>
      <c r="AU148" s="6" t="s">
        <v>160</v>
      </c>
      <c r="AY148" s="6" t="s">
        <v>147</v>
      </c>
      <c r="BE148" s="77">
        <f>IF($U$148="základní",$N$148,0)</f>
        <v>0</v>
      </c>
      <c r="BF148" s="77">
        <f>IF($U$148="snížená",$N$148,0)</f>
        <v>0</v>
      </c>
      <c r="BG148" s="77">
        <f>IF($U$148="zákl. přenesená",$N$148,0)</f>
        <v>0</v>
      </c>
      <c r="BH148" s="77">
        <f>IF($U$148="sníž. přenesená",$N$148,0)</f>
        <v>0</v>
      </c>
      <c r="BI148" s="77">
        <f>IF($U$148="nulová",$N$148,0)</f>
        <v>0</v>
      </c>
      <c r="BJ148" s="6" t="s">
        <v>125</v>
      </c>
      <c r="BK148" s="77">
        <f>ROUND($L$148*$K$148,2)</f>
        <v>0</v>
      </c>
      <c r="BL148" s="6" t="s">
        <v>152</v>
      </c>
    </row>
    <row r="149" spans="2:51" s="6" customFormat="1" ht="15.75" customHeight="1">
      <c r="B149" s="126"/>
      <c r="E149" s="127"/>
      <c r="F149" s="204" t="s">
        <v>187</v>
      </c>
      <c r="G149" s="205"/>
      <c r="H149" s="205"/>
      <c r="I149" s="205"/>
      <c r="K149" s="128">
        <v>693.774</v>
      </c>
      <c r="R149" s="129"/>
      <c r="T149" s="130"/>
      <c r="AA149" s="131"/>
      <c r="AT149" s="127" t="s">
        <v>154</v>
      </c>
      <c r="AU149" s="127" t="s">
        <v>160</v>
      </c>
      <c r="AV149" s="127" t="s">
        <v>125</v>
      </c>
      <c r="AW149" s="127" t="s">
        <v>107</v>
      </c>
      <c r="AX149" s="127" t="s">
        <v>17</v>
      </c>
      <c r="AY149" s="127" t="s">
        <v>147</v>
      </c>
    </row>
    <row r="150" spans="2:64" s="6" customFormat="1" ht="27" customHeight="1">
      <c r="B150" s="21"/>
      <c r="C150" s="119" t="s">
        <v>188</v>
      </c>
      <c r="D150" s="119" t="s">
        <v>148</v>
      </c>
      <c r="E150" s="120" t="s">
        <v>189</v>
      </c>
      <c r="F150" s="200" t="s">
        <v>190</v>
      </c>
      <c r="G150" s="201"/>
      <c r="H150" s="201"/>
      <c r="I150" s="201"/>
      <c r="J150" s="121" t="s">
        <v>181</v>
      </c>
      <c r="K150" s="122">
        <v>32.337</v>
      </c>
      <c r="L150" s="202">
        <v>0</v>
      </c>
      <c r="M150" s="201"/>
      <c r="N150" s="203">
        <f>ROUND($L$150*$K$150,2)</f>
        <v>0</v>
      </c>
      <c r="O150" s="201"/>
      <c r="P150" s="201"/>
      <c r="Q150" s="201"/>
      <c r="R150" s="22"/>
      <c r="T150" s="123"/>
      <c r="U150" s="28" t="s">
        <v>42</v>
      </c>
      <c r="V150" s="124">
        <v>0</v>
      </c>
      <c r="W150" s="124">
        <f>$V$150*$K$150</f>
        <v>0</v>
      </c>
      <c r="X150" s="124">
        <v>0</v>
      </c>
      <c r="Y150" s="124">
        <f>$X$150*$K$150</f>
        <v>0</v>
      </c>
      <c r="Z150" s="124">
        <v>0</v>
      </c>
      <c r="AA150" s="125">
        <f>$Z$150*$K$150</f>
        <v>0</v>
      </c>
      <c r="AR150" s="6" t="s">
        <v>152</v>
      </c>
      <c r="AT150" s="6" t="s">
        <v>148</v>
      </c>
      <c r="AU150" s="6" t="s">
        <v>160</v>
      </c>
      <c r="AY150" s="6" t="s">
        <v>147</v>
      </c>
      <c r="BE150" s="77">
        <f>IF($U$150="základní",$N$150,0)</f>
        <v>0</v>
      </c>
      <c r="BF150" s="77">
        <f>IF($U$150="snížená",$N$150,0)</f>
        <v>0</v>
      </c>
      <c r="BG150" s="77">
        <f>IF($U$150="zákl. přenesená",$N$150,0)</f>
        <v>0</v>
      </c>
      <c r="BH150" s="77">
        <f>IF($U$150="sníž. přenesená",$N$150,0)</f>
        <v>0</v>
      </c>
      <c r="BI150" s="77">
        <f>IF($U$150="nulová",$N$150,0)</f>
        <v>0</v>
      </c>
      <c r="BJ150" s="6" t="s">
        <v>125</v>
      </c>
      <c r="BK150" s="77">
        <f>ROUND($L$150*$K$150,2)</f>
        <v>0</v>
      </c>
      <c r="BL150" s="6" t="s">
        <v>152</v>
      </c>
    </row>
    <row r="151" spans="2:64" s="6" customFormat="1" ht="27" customHeight="1">
      <c r="B151" s="21"/>
      <c r="C151" s="119" t="s">
        <v>191</v>
      </c>
      <c r="D151" s="119" t="s">
        <v>148</v>
      </c>
      <c r="E151" s="120" t="s">
        <v>192</v>
      </c>
      <c r="F151" s="200" t="s">
        <v>193</v>
      </c>
      <c r="G151" s="201"/>
      <c r="H151" s="201"/>
      <c r="I151" s="201"/>
      <c r="J151" s="121" t="s">
        <v>181</v>
      </c>
      <c r="K151" s="122">
        <v>6.206</v>
      </c>
      <c r="L151" s="202">
        <v>0</v>
      </c>
      <c r="M151" s="201"/>
      <c r="N151" s="203">
        <f>ROUND($L$151*$K$151,2)</f>
        <v>0</v>
      </c>
      <c r="O151" s="201"/>
      <c r="P151" s="201"/>
      <c r="Q151" s="201"/>
      <c r="R151" s="22"/>
      <c r="T151" s="123"/>
      <c r="U151" s="28" t="s">
        <v>42</v>
      </c>
      <c r="V151" s="124">
        <v>0</v>
      </c>
      <c r="W151" s="124">
        <f>$V$151*$K$151</f>
        <v>0</v>
      </c>
      <c r="X151" s="124">
        <v>0</v>
      </c>
      <c r="Y151" s="124">
        <f>$X$151*$K$151</f>
        <v>0</v>
      </c>
      <c r="Z151" s="124">
        <v>0</v>
      </c>
      <c r="AA151" s="125">
        <f>$Z$151*$K$151</f>
        <v>0</v>
      </c>
      <c r="AR151" s="6" t="s">
        <v>194</v>
      </c>
      <c r="AT151" s="6" t="s">
        <v>148</v>
      </c>
      <c r="AU151" s="6" t="s">
        <v>160</v>
      </c>
      <c r="AY151" s="6" t="s">
        <v>147</v>
      </c>
      <c r="BE151" s="77">
        <f>IF($U$151="základní",$N$151,0)</f>
        <v>0</v>
      </c>
      <c r="BF151" s="77">
        <f>IF($U$151="snížená",$N$151,0)</f>
        <v>0</v>
      </c>
      <c r="BG151" s="77">
        <f>IF($U$151="zákl. přenesená",$N$151,0)</f>
        <v>0</v>
      </c>
      <c r="BH151" s="77">
        <f>IF($U$151="sníž. přenesená",$N$151,0)</f>
        <v>0</v>
      </c>
      <c r="BI151" s="77">
        <f>IF($U$151="nulová",$N$151,0)</f>
        <v>0</v>
      </c>
      <c r="BJ151" s="6" t="s">
        <v>125</v>
      </c>
      <c r="BK151" s="77">
        <f>ROUND($L$151*$K$151,2)</f>
        <v>0</v>
      </c>
      <c r="BL151" s="6" t="s">
        <v>194</v>
      </c>
    </row>
    <row r="152" spans="2:64" s="6" customFormat="1" ht="15.75" customHeight="1">
      <c r="B152" s="21"/>
      <c r="C152" s="119" t="s">
        <v>195</v>
      </c>
      <c r="D152" s="119" t="s">
        <v>148</v>
      </c>
      <c r="E152" s="120" t="s">
        <v>196</v>
      </c>
      <c r="F152" s="200" t="s">
        <v>197</v>
      </c>
      <c r="G152" s="201"/>
      <c r="H152" s="201"/>
      <c r="I152" s="201"/>
      <c r="J152" s="121" t="s">
        <v>181</v>
      </c>
      <c r="K152" s="122">
        <v>0.524</v>
      </c>
      <c r="L152" s="202">
        <v>0</v>
      </c>
      <c r="M152" s="201"/>
      <c r="N152" s="203">
        <f>ROUND($L$152*$K$152,2)</f>
        <v>0</v>
      </c>
      <c r="O152" s="201"/>
      <c r="P152" s="201"/>
      <c r="Q152" s="201"/>
      <c r="R152" s="22"/>
      <c r="T152" s="123"/>
      <c r="U152" s="28" t="s">
        <v>42</v>
      </c>
      <c r="V152" s="124">
        <v>0.667</v>
      </c>
      <c r="W152" s="124">
        <f>$V$152*$K$152</f>
        <v>0.34950800000000004</v>
      </c>
      <c r="X152" s="124">
        <v>0</v>
      </c>
      <c r="Y152" s="124">
        <f>$X$152*$K$152</f>
        <v>0</v>
      </c>
      <c r="Z152" s="124">
        <v>0</v>
      </c>
      <c r="AA152" s="125">
        <f>$Z$152*$K$152</f>
        <v>0</v>
      </c>
      <c r="AR152" s="6" t="s">
        <v>152</v>
      </c>
      <c r="AT152" s="6" t="s">
        <v>148</v>
      </c>
      <c r="AU152" s="6" t="s">
        <v>160</v>
      </c>
      <c r="AY152" s="6" t="s">
        <v>147</v>
      </c>
      <c r="BE152" s="77">
        <f>IF($U$152="základní",$N$152,0)</f>
        <v>0</v>
      </c>
      <c r="BF152" s="77">
        <f>IF($U$152="snížená",$N$152,0)</f>
        <v>0</v>
      </c>
      <c r="BG152" s="77">
        <f>IF($U$152="zákl. přenesená",$N$152,0)</f>
        <v>0</v>
      </c>
      <c r="BH152" s="77">
        <f>IF($U$152="sníž. přenesená",$N$152,0)</f>
        <v>0</v>
      </c>
      <c r="BI152" s="77">
        <f>IF($U$152="nulová",$N$152,0)</f>
        <v>0</v>
      </c>
      <c r="BJ152" s="6" t="s">
        <v>125</v>
      </c>
      <c r="BK152" s="77">
        <f>ROUND($L$152*$K$152,2)</f>
        <v>0</v>
      </c>
      <c r="BL152" s="6" t="s">
        <v>152</v>
      </c>
    </row>
    <row r="153" spans="2:63" s="109" customFormat="1" ht="37.5" customHeight="1">
      <c r="B153" s="110"/>
      <c r="D153" s="111" t="s">
        <v>112</v>
      </c>
      <c r="N153" s="196">
        <f>$BK$153</f>
        <v>0</v>
      </c>
      <c r="O153" s="209"/>
      <c r="P153" s="209"/>
      <c r="Q153" s="209"/>
      <c r="R153" s="113"/>
      <c r="T153" s="114"/>
      <c r="W153" s="115">
        <f>$W$154+$W$159+$W$177+$W$182+$W$191+$W$206</f>
        <v>2685.285488000001</v>
      </c>
      <c r="Y153" s="115">
        <f>$Y$154+$Y$159+$Y$177+$Y$182+$Y$191+$Y$206</f>
        <v>10.32073175</v>
      </c>
      <c r="AA153" s="116">
        <f>$AA$154+$AA$159+$AA$177+$AA$182+$AA$191+$AA$206</f>
        <v>3.633929</v>
      </c>
      <c r="AR153" s="112" t="s">
        <v>125</v>
      </c>
      <c r="AT153" s="112" t="s">
        <v>74</v>
      </c>
      <c r="AU153" s="112" t="s">
        <v>75</v>
      </c>
      <c r="AY153" s="112" t="s">
        <v>147</v>
      </c>
      <c r="BK153" s="117">
        <f>$BK$154+$BK$159+$BK$177+$BK$182+$BK$191+$BK$206</f>
        <v>0</v>
      </c>
    </row>
    <row r="154" spans="2:63" s="109" customFormat="1" ht="21" customHeight="1">
      <c r="B154" s="110"/>
      <c r="D154" s="118" t="s">
        <v>113</v>
      </c>
      <c r="N154" s="208">
        <f>$BK$154</f>
        <v>0</v>
      </c>
      <c r="O154" s="209"/>
      <c r="P154" s="209"/>
      <c r="Q154" s="209"/>
      <c r="R154" s="113"/>
      <c r="T154" s="114"/>
      <c r="W154" s="115">
        <f>SUM($W$155:$W$158)</f>
        <v>40.1895</v>
      </c>
      <c r="Y154" s="115">
        <f>SUM($Y$155:$Y$158)</f>
        <v>0.10529999999999999</v>
      </c>
      <c r="AA154" s="116">
        <f>SUM($AA$155:$AA$158)</f>
        <v>0</v>
      </c>
      <c r="AR154" s="112" t="s">
        <v>125</v>
      </c>
      <c r="AT154" s="112" t="s">
        <v>74</v>
      </c>
      <c r="AU154" s="112" t="s">
        <v>17</v>
      </c>
      <c r="AY154" s="112" t="s">
        <v>147</v>
      </c>
      <c r="BK154" s="117">
        <f>SUM($BK$155:$BK$158)</f>
        <v>0</v>
      </c>
    </row>
    <row r="155" spans="2:64" s="6" customFormat="1" ht="27" customHeight="1">
      <c r="B155" s="21"/>
      <c r="C155" s="119" t="s">
        <v>198</v>
      </c>
      <c r="D155" s="119" t="s">
        <v>148</v>
      </c>
      <c r="E155" s="120" t="s">
        <v>199</v>
      </c>
      <c r="F155" s="200" t="s">
        <v>200</v>
      </c>
      <c r="G155" s="201"/>
      <c r="H155" s="201"/>
      <c r="I155" s="201"/>
      <c r="J155" s="121" t="s">
        <v>151</v>
      </c>
      <c r="K155" s="122">
        <v>175.5</v>
      </c>
      <c r="L155" s="202">
        <v>0</v>
      </c>
      <c r="M155" s="201"/>
      <c r="N155" s="203">
        <f>ROUND($L$155*$K$155,2)</f>
        <v>0</v>
      </c>
      <c r="O155" s="201"/>
      <c r="P155" s="201"/>
      <c r="Q155" s="201"/>
      <c r="R155" s="22"/>
      <c r="T155" s="123"/>
      <c r="U155" s="28" t="s">
        <v>42</v>
      </c>
      <c r="V155" s="124">
        <v>0.229</v>
      </c>
      <c r="W155" s="124">
        <f>$V$155*$K$155</f>
        <v>40.1895</v>
      </c>
      <c r="X155" s="124">
        <v>0.0006</v>
      </c>
      <c r="Y155" s="124">
        <f>$X$155*$K$155</f>
        <v>0.10529999999999999</v>
      </c>
      <c r="Z155" s="124">
        <v>0</v>
      </c>
      <c r="AA155" s="125">
        <f>$Z$155*$K$155</f>
        <v>0</v>
      </c>
      <c r="AR155" s="6" t="s">
        <v>194</v>
      </c>
      <c r="AT155" s="6" t="s">
        <v>148</v>
      </c>
      <c r="AU155" s="6" t="s">
        <v>125</v>
      </c>
      <c r="AY155" s="6" t="s">
        <v>147</v>
      </c>
      <c r="BE155" s="77">
        <f>IF($U$155="základní",$N$155,0)</f>
        <v>0</v>
      </c>
      <c r="BF155" s="77">
        <f>IF($U$155="snížená",$N$155,0)</f>
        <v>0</v>
      </c>
      <c r="BG155" s="77">
        <f>IF($U$155="zákl. přenesená",$N$155,0)</f>
        <v>0</v>
      </c>
      <c r="BH155" s="77">
        <f>IF($U$155="sníž. přenesená",$N$155,0)</f>
        <v>0</v>
      </c>
      <c r="BI155" s="77">
        <f>IF($U$155="nulová",$N$155,0)</f>
        <v>0</v>
      </c>
      <c r="BJ155" s="6" t="s">
        <v>125</v>
      </c>
      <c r="BK155" s="77">
        <f>ROUND($L$155*$K$155,2)</f>
        <v>0</v>
      </c>
      <c r="BL155" s="6" t="s">
        <v>194</v>
      </c>
    </row>
    <row r="156" spans="2:51" s="6" customFormat="1" ht="15.75" customHeight="1">
      <c r="B156" s="126"/>
      <c r="E156" s="127"/>
      <c r="F156" s="204" t="s">
        <v>201</v>
      </c>
      <c r="G156" s="205"/>
      <c r="H156" s="205"/>
      <c r="I156" s="205"/>
      <c r="K156" s="128">
        <v>175.5</v>
      </c>
      <c r="R156" s="129"/>
      <c r="T156" s="130"/>
      <c r="AA156" s="131"/>
      <c r="AT156" s="127" t="s">
        <v>154</v>
      </c>
      <c r="AU156" s="127" t="s">
        <v>125</v>
      </c>
      <c r="AV156" s="127" t="s">
        <v>125</v>
      </c>
      <c r="AW156" s="127" t="s">
        <v>107</v>
      </c>
      <c r="AX156" s="127" t="s">
        <v>17</v>
      </c>
      <c r="AY156" s="127" t="s">
        <v>147</v>
      </c>
    </row>
    <row r="157" spans="2:51" s="6" customFormat="1" ht="15.75" customHeight="1">
      <c r="B157" s="132"/>
      <c r="E157" s="133"/>
      <c r="F157" s="206" t="s">
        <v>155</v>
      </c>
      <c r="G157" s="207"/>
      <c r="H157" s="207"/>
      <c r="I157" s="207"/>
      <c r="K157" s="134">
        <v>175.5</v>
      </c>
      <c r="R157" s="135"/>
      <c r="T157" s="136"/>
      <c r="AA157" s="137"/>
      <c r="AT157" s="133" t="s">
        <v>154</v>
      </c>
      <c r="AU157" s="133" t="s">
        <v>125</v>
      </c>
      <c r="AV157" s="133" t="s">
        <v>152</v>
      </c>
      <c r="AW157" s="133" t="s">
        <v>107</v>
      </c>
      <c r="AX157" s="133" t="s">
        <v>75</v>
      </c>
      <c r="AY157" s="133" t="s">
        <v>147</v>
      </c>
    </row>
    <row r="158" spans="2:64" s="6" customFormat="1" ht="27" customHeight="1">
      <c r="B158" s="21"/>
      <c r="C158" s="119" t="s">
        <v>8</v>
      </c>
      <c r="D158" s="119" t="s">
        <v>148</v>
      </c>
      <c r="E158" s="120" t="s">
        <v>202</v>
      </c>
      <c r="F158" s="200" t="s">
        <v>203</v>
      </c>
      <c r="G158" s="201"/>
      <c r="H158" s="201"/>
      <c r="I158" s="201"/>
      <c r="J158" s="121" t="s">
        <v>204</v>
      </c>
      <c r="K158" s="138">
        <v>0</v>
      </c>
      <c r="L158" s="202">
        <v>0</v>
      </c>
      <c r="M158" s="201"/>
      <c r="N158" s="203">
        <f>ROUND($L$158*$K$158,2)</f>
        <v>0</v>
      </c>
      <c r="O158" s="201"/>
      <c r="P158" s="201"/>
      <c r="Q158" s="201"/>
      <c r="R158" s="22"/>
      <c r="T158" s="123"/>
      <c r="U158" s="28" t="s">
        <v>42</v>
      </c>
      <c r="V158" s="124">
        <v>0</v>
      </c>
      <c r="W158" s="124">
        <f>$V$158*$K$158</f>
        <v>0</v>
      </c>
      <c r="X158" s="124">
        <v>0</v>
      </c>
      <c r="Y158" s="124">
        <f>$X$158*$K$158</f>
        <v>0</v>
      </c>
      <c r="Z158" s="124">
        <v>0</v>
      </c>
      <c r="AA158" s="125">
        <f>$Z$158*$K$158</f>
        <v>0</v>
      </c>
      <c r="AR158" s="6" t="s">
        <v>194</v>
      </c>
      <c r="AT158" s="6" t="s">
        <v>148</v>
      </c>
      <c r="AU158" s="6" t="s">
        <v>125</v>
      </c>
      <c r="AY158" s="6" t="s">
        <v>147</v>
      </c>
      <c r="BE158" s="77">
        <f>IF($U$158="základní",$N$158,0)</f>
        <v>0</v>
      </c>
      <c r="BF158" s="77">
        <f>IF($U$158="snížená",$N$158,0)</f>
        <v>0</v>
      </c>
      <c r="BG158" s="77">
        <f>IF($U$158="zákl. přenesená",$N$158,0)</f>
        <v>0</v>
      </c>
      <c r="BH158" s="77">
        <f>IF($U$158="sníž. přenesená",$N$158,0)</f>
        <v>0</v>
      </c>
      <c r="BI158" s="77">
        <f>IF($U$158="nulová",$N$158,0)</f>
        <v>0</v>
      </c>
      <c r="BJ158" s="6" t="s">
        <v>125</v>
      </c>
      <c r="BK158" s="77">
        <f>ROUND($L$158*$K$158,2)</f>
        <v>0</v>
      </c>
      <c r="BL158" s="6" t="s">
        <v>194</v>
      </c>
    </row>
    <row r="159" spans="2:63" s="109" customFormat="1" ht="30.75" customHeight="1">
      <c r="B159" s="110"/>
      <c r="D159" s="118" t="s">
        <v>114</v>
      </c>
      <c r="N159" s="208">
        <f>$BK$159</f>
        <v>0</v>
      </c>
      <c r="O159" s="209"/>
      <c r="P159" s="209"/>
      <c r="Q159" s="209"/>
      <c r="R159" s="113"/>
      <c r="T159" s="114"/>
      <c r="W159" s="115">
        <f>SUM($W$160:$W$176)</f>
        <v>2376.1738000000005</v>
      </c>
      <c r="Y159" s="115">
        <f>SUM($Y$160:$Y$176)</f>
        <v>9.36150475</v>
      </c>
      <c r="AA159" s="116">
        <f>SUM($AA$160:$AA$176)</f>
        <v>3.4476000000000004</v>
      </c>
      <c r="AR159" s="112" t="s">
        <v>125</v>
      </c>
      <c r="AT159" s="112" t="s">
        <v>74</v>
      </c>
      <c r="AU159" s="112" t="s">
        <v>17</v>
      </c>
      <c r="AY159" s="112" t="s">
        <v>147</v>
      </c>
      <c r="BK159" s="117">
        <f>SUM($BK$160:$BK$176)</f>
        <v>0</v>
      </c>
    </row>
    <row r="160" spans="2:64" s="6" customFormat="1" ht="27" customHeight="1">
      <c r="B160" s="21"/>
      <c r="C160" s="119" t="s">
        <v>194</v>
      </c>
      <c r="D160" s="119" t="s">
        <v>148</v>
      </c>
      <c r="E160" s="120" t="s">
        <v>205</v>
      </c>
      <c r="F160" s="200" t="s">
        <v>206</v>
      </c>
      <c r="G160" s="201"/>
      <c r="H160" s="201"/>
      <c r="I160" s="201"/>
      <c r="J160" s="121" t="s">
        <v>151</v>
      </c>
      <c r="K160" s="122">
        <v>1028.3</v>
      </c>
      <c r="L160" s="202">
        <v>0</v>
      </c>
      <c r="M160" s="201"/>
      <c r="N160" s="203">
        <f>ROUND($L$160*$K$160,2)</f>
        <v>0</v>
      </c>
      <c r="O160" s="201"/>
      <c r="P160" s="201"/>
      <c r="Q160" s="201"/>
      <c r="R160" s="22"/>
      <c r="T160" s="123"/>
      <c r="U160" s="28" t="s">
        <v>42</v>
      </c>
      <c r="V160" s="124">
        <v>0.104</v>
      </c>
      <c r="W160" s="124">
        <f>$V$160*$K$160</f>
        <v>106.94319999999999</v>
      </c>
      <c r="X160" s="124">
        <v>0</v>
      </c>
      <c r="Y160" s="124">
        <f>$X$160*$K$160</f>
        <v>0</v>
      </c>
      <c r="Z160" s="124">
        <v>0</v>
      </c>
      <c r="AA160" s="125">
        <f>$Z$160*$K$160</f>
        <v>0</v>
      </c>
      <c r="AR160" s="6" t="s">
        <v>194</v>
      </c>
      <c r="AT160" s="6" t="s">
        <v>148</v>
      </c>
      <c r="AU160" s="6" t="s">
        <v>125</v>
      </c>
      <c r="AY160" s="6" t="s">
        <v>147</v>
      </c>
      <c r="BE160" s="77">
        <f>IF($U$160="základní",$N$160,0)</f>
        <v>0</v>
      </c>
      <c r="BF160" s="77">
        <f>IF($U$160="snížená",$N$160,0)</f>
        <v>0</v>
      </c>
      <c r="BG160" s="77">
        <f>IF($U$160="zákl. přenesená",$N$160,0)</f>
        <v>0</v>
      </c>
      <c r="BH160" s="77">
        <f>IF($U$160="sníž. přenesená",$N$160,0)</f>
        <v>0</v>
      </c>
      <c r="BI160" s="77">
        <f>IF($U$160="nulová",$N$160,0)</f>
        <v>0</v>
      </c>
      <c r="BJ160" s="6" t="s">
        <v>125</v>
      </c>
      <c r="BK160" s="77">
        <f>ROUND($L$160*$K$160,2)</f>
        <v>0</v>
      </c>
      <c r="BL160" s="6" t="s">
        <v>194</v>
      </c>
    </row>
    <row r="161" spans="2:64" s="6" customFormat="1" ht="39" customHeight="1">
      <c r="B161" s="21"/>
      <c r="C161" s="119" t="s">
        <v>207</v>
      </c>
      <c r="D161" s="119" t="s">
        <v>148</v>
      </c>
      <c r="E161" s="120" t="s">
        <v>208</v>
      </c>
      <c r="F161" s="200" t="s">
        <v>209</v>
      </c>
      <c r="G161" s="201"/>
      <c r="H161" s="201"/>
      <c r="I161" s="201"/>
      <c r="J161" s="121" t="s">
        <v>158</v>
      </c>
      <c r="K161" s="122">
        <v>29.25</v>
      </c>
      <c r="L161" s="202">
        <v>0</v>
      </c>
      <c r="M161" s="201"/>
      <c r="N161" s="203">
        <f>ROUND($L$161*$K$161,2)</f>
        <v>0</v>
      </c>
      <c r="O161" s="201"/>
      <c r="P161" s="201"/>
      <c r="Q161" s="201"/>
      <c r="R161" s="22"/>
      <c r="T161" s="123"/>
      <c r="U161" s="28" t="s">
        <v>42</v>
      </c>
      <c r="V161" s="124">
        <v>1.76</v>
      </c>
      <c r="W161" s="124">
        <f>$V$161*$K$161</f>
        <v>51.48</v>
      </c>
      <c r="X161" s="124">
        <v>0.00025</v>
      </c>
      <c r="Y161" s="124">
        <f>$X$161*$K$161</f>
        <v>0.0073125</v>
      </c>
      <c r="Z161" s="124">
        <v>0</v>
      </c>
      <c r="AA161" s="125">
        <f>$Z$161*$K$161</f>
        <v>0</v>
      </c>
      <c r="AR161" s="6" t="s">
        <v>194</v>
      </c>
      <c r="AT161" s="6" t="s">
        <v>148</v>
      </c>
      <c r="AU161" s="6" t="s">
        <v>125</v>
      </c>
      <c r="AY161" s="6" t="s">
        <v>147</v>
      </c>
      <c r="BE161" s="77">
        <f>IF($U$161="základní",$N$161,0)</f>
        <v>0</v>
      </c>
      <c r="BF161" s="77">
        <f>IF($U$161="snížená",$N$161,0)</f>
        <v>0</v>
      </c>
      <c r="BG161" s="77">
        <f>IF($U$161="zákl. přenesená",$N$161,0)</f>
        <v>0</v>
      </c>
      <c r="BH161" s="77">
        <f>IF($U$161="sníž. přenesená",$N$161,0)</f>
        <v>0</v>
      </c>
      <c r="BI161" s="77">
        <f>IF($U$161="nulová",$N$161,0)</f>
        <v>0</v>
      </c>
      <c r="BJ161" s="6" t="s">
        <v>125</v>
      </c>
      <c r="BK161" s="77">
        <f>ROUND($L$161*$K$161,2)</f>
        <v>0</v>
      </c>
      <c r="BL161" s="6" t="s">
        <v>194</v>
      </c>
    </row>
    <row r="162" spans="2:51" s="6" customFormat="1" ht="15.75" customHeight="1">
      <c r="B162" s="126"/>
      <c r="E162" s="127"/>
      <c r="F162" s="204" t="s">
        <v>165</v>
      </c>
      <c r="G162" s="205"/>
      <c r="H162" s="205"/>
      <c r="I162" s="205"/>
      <c r="K162" s="128">
        <v>29.25</v>
      </c>
      <c r="R162" s="129"/>
      <c r="T162" s="130"/>
      <c r="AA162" s="131"/>
      <c r="AT162" s="127" t="s">
        <v>154</v>
      </c>
      <c r="AU162" s="127" t="s">
        <v>125</v>
      </c>
      <c r="AV162" s="127" t="s">
        <v>125</v>
      </c>
      <c r="AW162" s="127" t="s">
        <v>107</v>
      </c>
      <c r="AX162" s="127" t="s">
        <v>17</v>
      </c>
      <c r="AY162" s="127" t="s">
        <v>147</v>
      </c>
    </row>
    <row r="163" spans="2:64" s="6" customFormat="1" ht="39" customHeight="1">
      <c r="B163" s="21"/>
      <c r="C163" s="119" t="s">
        <v>210</v>
      </c>
      <c r="D163" s="119" t="s">
        <v>148</v>
      </c>
      <c r="E163" s="120" t="s">
        <v>211</v>
      </c>
      <c r="F163" s="200" t="s">
        <v>212</v>
      </c>
      <c r="G163" s="201"/>
      <c r="H163" s="201"/>
      <c r="I163" s="201"/>
      <c r="J163" s="121" t="s">
        <v>158</v>
      </c>
      <c r="K163" s="122">
        <v>732.225</v>
      </c>
      <c r="L163" s="202">
        <v>0</v>
      </c>
      <c r="M163" s="201"/>
      <c r="N163" s="203">
        <f>ROUND($L$163*$K$163,2)</f>
        <v>0</v>
      </c>
      <c r="O163" s="201"/>
      <c r="P163" s="201"/>
      <c r="Q163" s="201"/>
      <c r="R163" s="22"/>
      <c r="T163" s="123"/>
      <c r="U163" s="28" t="s">
        <v>42</v>
      </c>
      <c r="V163" s="124">
        <v>1.812</v>
      </c>
      <c r="W163" s="124">
        <f>$V$163*$K$163</f>
        <v>1326.7917</v>
      </c>
      <c r="X163" s="124">
        <v>0.00025</v>
      </c>
      <c r="Y163" s="124">
        <f>$X$163*$K$163</f>
        <v>0.18305625</v>
      </c>
      <c r="Z163" s="124">
        <v>0</v>
      </c>
      <c r="AA163" s="125">
        <f>$Z$163*$K$163</f>
        <v>0</v>
      </c>
      <c r="AR163" s="6" t="s">
        <v>194</v>
      </c>
      <c r="AT163" s="6" t="s">
        <v>148</v>
      </c>
      <c r="AU163" s="6" t="s">
        <v>125</v>
      </c>
      <c r="AY163" s="6" t="s">
        <v>147</v>
      </c>
      <c r="BE163" s="77">
        <f>IF($U$163="základní",$N$163,0)</f>
        <v>0</v>
      </c>
      <c r="BF163" s="77">
        <f>IF($U$163="snížená",$N$163,0)</f>
        <v>0</v>
      </c>
      <c r="BG163" s="77">
        <f>IF($U$163="zákl. přenesená",$N$163,0)</f>
        <v>0</v>
      </c>
      <c r="BH163" s="77">
        <f>IF($U$163="sníž. přenesená",$N$163,0)</f>
        <v>0</v>
      </c>
      <c r="BI163" s="77">
        <f>IF($U$163="nulová",$N$163,0)</f>
        <v>0</v>
      </c>
      <c r="BJ163" s="6" t="s">
        <v>125</v>
      </c>
      <c r="BK163" s="77">
        <f>ROUND($L$163*$K$163,2)</f>
        <v>0</v>
      </c>
      <c r="BL163" s="6" t="s">
        <v>194</v>
      </c>
    </row>
    <row r="164" spans="2:51" s="6" customFormat="1" ht="15.75" customHeight="1">
      <c r="B164" s="126"/>
      <c r="E164" s="127"/>
      <c r="F164" s="204" t="s">
        <v>213</v>
      </c>
      <c r="G164" s="205"/>
      <c r="H164" s="205"/>
      <c r="I164" s="205"/>
      <c r="K164" s="128">
        <v>732.225</v>
      </c>
      <c r="R164" s="129"/>
      <c r="T164" s="130"/>
      <c r="AA164" s="131"/>
      <c r="AT164" s="127" t="s">
        <v>154</v>
      </c>
      <c r="AU164" s="127" t="s">
        <v>125</v>
      </c>
      <c r="AV164" s="127" t="s">
        <v>125</v>
      </c>
      <c r="AW164" s="127" t="s">
        <v>107</v>
      </c>
      <c r="AX164" s="127" t="s">
        <v>17</v>
      </c>
      <c r="AY164" s="127" t="s">
        <v>147</v>
      </c>
    </row>
    <row r="165" spans="2:64" s="6" customFormat="1" ht="82.5" customHeight="1">
      <c r="B165" s="21"/>
      <c r="C165" s="139" t="s">
        <v>214</v>
      </c>
      <c r="D165" s="139" t="s">
        <v>215</v>
      </c>
      <c r="E165" s="140" t="s">
        <v>216</v>
      </c>
      <c r="F165" s="210" t="s">
        <v>321</v>
      </c>
      <c r="G165" s="211"/>
      <c r="H165" s="211"/>
      <c r="I165" s="211"/>
      <c r="J165" s="141" t="s">
        <v>217</v>
      </c>
      <c r="K165" s="142">
        <v>13</v>
      </c>
      <c r="L165" s="212">
        <v>0</v>
      </c>
      <c r="M165" s="211"/>
      <c r="N165" s="213">
        <f>ROUND($L$165*$K$165,2)</f>
        <v>0</v>
      </c>
      <c r="O165" s="201"/>
      <c r="P165" s="201"/>
      <c r="Q165" s="201"/>
      <c r="R165" s="22"/>
      <c r="T165" s="123"/>
      <c r="U165" s="28" t="s">
        <v>42</v>
      </c>
      <c r="V165" s="124">
        <v>0</v>
      </c>
      <c r="W165" s="124">
        <f>$V$165*$K$165</f>
        <v>0</v>
      </c>
      <c r="X165" s="124">
        <v>0.0467</v>
      </c>
      <c r="Y165" s="124">
        <f>$X$165*$K$165</f>
        <v>0.6071</v>
      </c>
      <c r="Z165" s="124">
        <v>0</v>
      </c>
      <c r="AA165" s="125">
        <f>$Z$165*$K$165</f>
        <v>0</v>
      </c>
      <c r="AR165" s="6" t="s">
        <v>218</v>
      </c>
      <c r="AT165" s="6" t="s">
        <v>215</v>
      </c>
      <c r="AU165" s="6" t="s">
        <v>125</v>
      </c>
      <c r="AY165" s="6" t="s">
        <v>147</v>
      </c>
      <c r="BE165" s="77">
        <f>IF($U$165="základní",$N$165,0)</f>
        <v>0</v>
      </c>
      <c r="BF165" s="77">
        <f>IF($U$165="snížená",$N$165,0)</f>
        <v>0</v>
      </c>
      <c r="BG165" s="77">
        <f>IF($U$165="zákl. přenesená",$N$165,0)</f>
        <v>0</v>
      </c>
      <c r="BH165" s="77">
        <f>IF($U$165="sníž. přenesená",$N$165,0)</f>
        <v>0</v>
      </c>
      <c r="BI165" s="77">
        <f>IF($U$165="nulová",$N$165,0)</f>
        <v>0</v>
      </c>
      <c r="BJ165" s="6" t="s">
        <v>125</v>
      </c>
      <c r="BK165" s="77">
        <f>ROUND($L$165*$K$165,2)</f>
        <v>0</v>
      </c>
      <c r="BL165" s="6" t="s">
        <v>194</v>
      </c>
    </row>
    <row r="166" spans="2:64" s="6" customFormat="1" ht="27" customHeight="1">
      <c r="B166" s="21"/>
      <c r="C166" s="139" t="s">
        <v>219</v>
      </c>
      <c r="D166" s="139" t="s">
        <v>215</v>
      </c>
      <c r="E166" s="140" t="s">
        <v>220</v>
      </c>
      <c r="F166" s="210" t="s">
        <v>221</v>
      </c>
      <c r="G166" s="211"/>
      <c r="H166" s="211"/>
      <c r="I166" s="211"/>
      <c r="J166" s="141" t="s">
        <v>217</v>
      </c>
      <c r="K166" s="142">
        <v>52</v>
      </c>
      <c r="L166" s="212">
        <v>0</v>
      </c>
      <c r="M166" s="211"/>
      <c r="N166" s="213">
        <f>ROUND($L$166*$K$166,2)</f>
        <v>0</v>
      </c>
      <c r="O166" s="201"/>
      <c r="P166" s="201"/>
      <c r="Q166" s="201"/>
      <c r="R166" s="22"/>
      <c r="T166" s="123"/>
      <c r="U166" s="28" t="s">
        <v>42</v>
      </c>
      <c r="V166" s="124">
        <v>0</v>
      </c>
      <c r="W166" s="124">
        <f>$V$166*$K$166</f>
        <v>0</v>
      </c>
      <c r="X166" s="124">
        <v>0.0072</v>
      </c>
      <c r="Y166" s="124">
        <f>$X$166*$K$166</f>
        <v>0.3744</v>
      </c>
      <c r="Z166" s="124">
        <v>0</v>
      </c>
      <c r="AA166" s="125">
        <f>$Z$166*$K$166</f>
        <v>0</v>
      </c>
      <c r="AR166" s="6" t="s">
        <v>218</v>
      </c>
      <c r="AT166" s="6" t="s">
        <v>215</v>
      </c>
      <c r="AU166" s="6" t="s">
        <v>125</v>
      </c>
      <c r="AY166" s="6" t="s">
        <v>147</v>
      </c>
      <c r="BE166" s="77">
        <f>IF($U$166="základní",$N$166,0)</f>
        <v>0</v>
      </c>
      <c r="BF166" s="77">
        <f>IF($U$166="snížená",$N$166,0)</f>
        <v>0</v>
      </c>
      <c r="BG166" s="77">
        <f>IF($U$166="zákl. přenesená",$N$166,0)</f>
        <v>0</v>
      </c>
      <c r="BH166" s="77">
        <f>IF($U$166="sníž. přenesená",$N$166,0)</f>
        <v>0</v>
      </c>
      <c r="BI166" s="77">
        <f>IF($U$166="nulová",$N$166,0)</f>
        <v>0</v>
      </c>
      <c r="BJ166" s="6" t="s">
        <v>125</v>
      </c>
      <c r="BK166" s="77">
        <f>ROUND($L$166*$K$166,2)</f>
        <v>0</v>
      </c>
      <c r="BL166" s="6" t="s">
        <v>194</v>
      </c>
    </row>
    <row r="167" spans="2:64" s="6" customFormat="1" ht="27" customHeight="1">
      <c r="B167" s="21"/>
      <c r="C167" s="139" t="s">
        <v>7</v>
      </c>
      <c r="D167" s="139" t="s">
        <v>215</v>
      </c>
      <c r="E167" s="140" t="s">
        <v>222</v>
      </c>
      <c r="F167" s="210" t="s">
        <v>223</v>
      </c>
      <c r="G167" s="211"/>
      <c r="H167" s="211"/>
      <c r="I167" s="211"/>
      <c r="J167" s="141" t="s">
        <v>217</v>
      </c>
      <c r="K167" s="142">
        <v>78</v>
      </c>
      <c r="L167" s="212">
        <v>0</v>
      </c>
      <c r="M167" s="211"/>
      <c r="N167" s="213">
        <f>ROUND($L$167*$K$167,2)</f>
        <v>0</v>
      </c>
      <c r="O167" s="201"/>
      <c r="P167" s="201"/>
      <c r="Q167" s="201"/>
      <c r="R167" s="22"/>
      <c r="T167" s="123"/>
      <c r="U167" s="28" t="s">
        <v>42</v>
      </c>
      <c r="V167" s="124">
        <v>0</v>
      </c>
      <c r="W167" s="124">
        <f>$V$167*$K$167</f>
        <v>0</v>
      </c>
      <c r="X167" s="124">
        <v>0.0467</v>
      </c>
      <c r="Y167" s="124">
        <f>$X$167*$K$167</f>
        <v>3.6426</v>
      </c>
      <c r="Z167" s="124">
        <v>0</v>
      </c>
      <c r="AA167" s="125">
        <f>$Z$167*$K$167</f>
        <v>0</v>
      </c>
      <c r="AR167" s="6" t="s">
        <v>218</v>
      </c>
      <c r="AT167" s="6" t="s">
        <v>215</v>
      </c>
      <c r="AU167" s="6" t="s">
        <v>125</v>
      </c>
      <c r="AY167" s="6" t="s">
        <v>147</v>
      </c>
      <c r="BE167" s="77">
        <f>IF($U$167="základní",$N$167,0)</f>
        <v>0</v>
      </c>
      <c r="BF167" s="77">
        <f>IF($U$167="snížená",$N$167,0)</f>
        <v>0</v>
      </c>
      <c r="BG167" s="77">
        <f>IF($U$167="zákl. přenesená",$N$167,0)</f>
        <v>0</v>
      </c>
      <c r="BH167" s="77">
        <f>IF($U$167="sníž. přenesená",$N$167,0)</f>
        <v>0</v>
      </c>
      <c r="BI167" s="77">
        <f>IF($U$167="nulová",$N$167,0)</f>
        <v>0</v>
      </c>
      <c r="BJ167" s="6" t="s">
        <v>125</v>
      </c>
      <c r="BK167" s="77">
        <f>ROUND($L$167*$K$167,2)</f>
        <v>0</v>
      </c>
      <c r="BL167" s="6" t="s">
        <v>194</v>
      </c>
    </row>
    <row r="168" spans="2:64" s="6" customFormat="1" ht="27" customHeight="1">
      <c r="B168" s="21"/>
      <c r="C168" s="119" t="s">
        <v>224</v>
      </c>
      <c r="D168" s="119" t="s">
        <v>148</v>
      </c>
      <c r="E168" s="120" t="s">
        <v>225</v>
      </c>
      <c r="F168" s="200" t="s">
        <v>226</v>
      </c>
      <c r="G168" s="201"/>
      <c r="H168" s="201"/>
      <c r="I168" s="201"/>
      <c r="J168" s="121" t="s">
        <v>151</v>
      </c>
      <c r="K168" s="122">
        <v>1461.2</v>
      </c>
      <c r="L168" s="202">
        <v>0</v>
      </c>
      <c r="M168" s="201"/>
      <c r="N168" s="203">
        <f>ROUND($L$168*$K$168,2)</f>
        <v>0</v>
      </c>
      <c r="O168" s="201"/>
      <c r="P168" s="201"/>
      <c r="Q168" s="201"/>
      <c r="R168" s="22"/>
      <c r="T168" s="123"/>
      <c r="U168" s="28" t="s">
        <v>42</v>
      </c>
      <c r="V168" s="124">
        <v>0.186</v>
      </c>
      <c r="W168" s="124">
        <f>$V$168*$K$168</f>
        <v>271.7832</v>
      </c>
      <c r="X168" s="124">
        <v>0.00028</v>
      </c>
      <c r="Y168" s="124">
        <f>$X$168*$K$168</f>
        <v>0.409136</v>
      </c>
      <c r="Z168" s="124">
        <v>0</v>
      </c>
      <c r="AA168" s="125">
        <f>$Z$168*$K$168</f>
        <v>0</v>
      </c>
      <c r="AR168" s="6" t="s">
        <v>194</v>
      </c>
      <c r="AT168" s="6" t="s">
        <v>148</v>
      </c>
      <c r="AU168" s="6" t="s">
        <v>125</v>
      </c>
      <c r="AY168" s="6" t="s">
        <v>147</v>
      </c>
      <c r="BE168" s="77">
        <f>IF($U$168="základní",$N$168,0)</f>
        <v>0</v>
      </c>
      <c r="BF168" s="77">
        <f>IF($U$168="snížená",$N$168,0)</f>
        <v>0</v>
      </c>
      <c r="BG168" s="77">
        <f>IF($U$168="zákl. přenesená",$N$168,0)</f>
        <v>0</v>
      </c>
      <c r="BH168" s="77">
        <f>IF($U$168="sníž. přenesená",$N$168,0)</f>
        <v>0</v>
      </c>
      <c r="BI168" s="77">
        <f>IF($U$168="nulová",$N$168,0)</f>
        <v>0</v>
      </c>
      <c r="BJ168" s="6" t="s">
        <v>125</v>
      </c>
      <c r="BK168" s="77">
        <f>ROUND($L$168*$K$168,2)</f>
        <v>0</v>
      </c>
      <c r="BL168" s="6" t="s">
        <v>194</v>
      </c>
    </row>
    <row r="169" spans="2:51" s="6" customFormat="1" ht="15.75" customHeight="1">
      <c r="B169" s="126"/>
      <c r="E169" s="127"/>
      <c r="F169" s="204" t="s">
        <v>227</v>
      </c>
      <c r="G169" s="205"/>
      <c r="H169" s="205"/>
      <c r="I169" s="205"/>
      <c r="K169" s="128">
        <v>1461.2</v>
      </c>
      <c r="R169" s="129"/>
      <c r="T169" s="130"/>
      <c r="AA169" s="131"/>
      <c r="AT169" s="127" t="s">
        <v>154</v>
      </c>
      <c r="AU169" s="127" t="s">
        <v>125</v>
      </c>
      <c r="AV169" s="127" t="s">
        <v>125</v>
      </c>
      <c r="AW169" s="127" t="s">
        <v>107</v>
      </c>
      <c r="AX169" s="127" t="s">
        <v>17</v>
      </c>
      <c r="AY169" s="127" t="s">
        <v>147</v>
      </c>
    </row>
    <row r="170" spans="2:64" s="6" customFormat="1" ht="15.75" customHeight="1">
      <c r="B170" s="21"/>
      <c r="C170" s="119" t="s">
        <v>228</v>
      </c>
      <c r="D170" s="119" t="s">
        <v>148</v>
      </c>
      <c r="E170" s="120" t="s">
        <v>229</v>
      </c>
      <c r="F170" s="200" t="s">
        <v>230</v>
      </c>
      <c r="G170" s="201"/>
      <c r="H170" s="201"/>
      <c r="I170" s="201"/>
      <c r="J170" s="121" t="s">
        <v>151</v>
      </c>
      <c r="K170" s="122">
        <v>1461.2</v>
      </c>
      <c r="L170" s="202">
        <v>0</v>
      </c>
      <c r="M170" s="201"/>
      <c r="N170" s="203">
        <f>ROUND($L$170*$K$170,2)</f>
        <v>0</v>
      </c>
      <c r="O170" s="201"/>
      <c r="P170" s="201"/>
      <c r="Q170" s="201"/>
      <c r="R170" s="22"/>
      <c r="T170" s="123"/>
      <c r="U170" s="28" t="s">
        <v>42</v>
      </c>
      <c r="V170" s="124">
        <v>0.186</v>
      </c>
      <c r="W170" s="124">
        <f>$V$170*$K$170</f>
        <v>271.7832</v>
      </c>
      <c r="X170" s="124">
        <v>0.00015</v>
      </c>
      <c r="Y170" s="124">
        <f>$X$170*$K$170</f>
        <v>0.21917999999999999</v>
      </c>
      <c r="Z170" s="124">
        <v>0</v>
      </c>
      <c r="AA170" s="125">
        <f>$Z$170*$K$170</f>
        <v>0</v>
      </c>
      <c r="AR170" s="6" t="s">
        <v>194</v>
      </c>
      <c r="AT170" s="6" t="s">
        <v>148</v>
      </c>
      <c r="AU170" s="6" t="s">
        <v>125</v>
      </c>
      <c r="AY170" s="6" t="s">
        <v>147</v>
      </c>
      <c r="BE170" s="77">
        <f>IF($U$170="základní",$N$170,0)</f>
        <v>0</v>
      </c>
      <c r="BF170" s="77">
        <f>IF($U$170="snížená",$N$170,0)</f>
        <v>0</v>
      </c>
      <c r="BG170" s="77">
        <f>IF($U$170="zákl. přenesená",$N$170,0)</f>
        <v>0</v>
      </c>
      <c r="BH170" s="77">
        <f>IF($U$170="sníž. přenesená",$N$170,0)</f>
        <v>0</v>
      </c>
      <c r="BI170" s="77">
        <f>IF($U$170="nulová",$N$170,0)</f>
        <v>0</v>
      </c>
      <c r="BJ170" s="6" t="s">
        <v>125</v>
      </c>
      <c r="BK170" s="77">
        <f>ROUND($L$170*$K$170,2)</f>
        <v>0</v>
      </c>
      <c r="BL170" s="6" t="s">
        <v>194</v>
      </c>
    </row>
    <row r="171" spans="2:64" s="6" customFormat="1" ht="39" customHeight="1">
      <c r="B171" s="21"/>
      <c r="C171" s="119" t="s">
        <v>231</v>
      </c>
      <c r="D171" s="119" t="s">
        <v>148</v>
      </c>
      <c r="E171" s="120" t="s">
        <v>232</v>
      </c>
      <c r="F171" s="200" t="s">
        <v>233</v>
      </c>
      <c r="G171" s="201"/>
      <c r="H171" s="201"/>
      <c r="I171" s="201"/>
      <c r="J171" s="121" t="s">
        <v>217</v>
      </c>
      <c r="K171" s="122">
        <v>78</v>
      </c>
      <c r="L171" s="202">
        <v>0</v>
      </c>
      <c r="M171" s="201"/>
      <c r="N171" s="203">
        <f>ROUND($L$171*$K$171,2)</f>
        <v>0</v>
      </c>
      <c r="O171" s="201"/>
      <c r="P171" s="201"/>
      <c r="Q171" s="201"/>
      <c r="R171" s="22"/>
      <c r="T171" s="123"/>
      <c r="U171" s="28" t="s">
        <v>42</v>
      </c>
      <c r="V171" s="124">
        <v>3.403</v>
      </c>
      <c r="W171" s="124">
        <f>$V$171*$K$171</f>
        <v>265.434</v>
      </c>
      <c r="X171" s="124">
        <v>0.00024</v>
      </c>
      <c r="Y171" s="124">
        <f>$X$171*$K$171</f>
        <v>0.01872</v>
      </c>
      <c r="Z171" s="124">
        <v>0</v>
      </c>
      <c r="AA171" s="125">
        <f>$Z$171*$K$171</f>
        <v>0</v>
      </c>
      <c r="AR171" s="6" t="s">
        <v>194</v>
      </c>
      <c r="AT171" s="6" t="s">
        <v>148</v>
      </c>
      <c r="AU171" s="6" t="s">
        <v>125</v>
      </c>
      <c r="AY171" s="6" t="s">
        <v>147</v>
      </c>
      <c r="BE171" s="77">
        <f>IF($U$171="základní",$N$171,0)</f>
        <v>0</v>
      </c>
      <c r="BF171" s="77">
        <f>IF($U$171="snížená",$N$171,0)</f>
        <v>0</v>
      </c>
      <c r="BG171" s="77">
        <f>IF($U$171="zákl. přenesená",$N$171,0)</f>
        <v>0</v>
      </c>
      <c r="BH171" s="77">
        <f>IF($U$171="sníž. přenesená",$N$171,0)</f>
        <v>0</v>
      </c>
      <c r="BI171" s="77">
        <f>IF($U$171="nulová",$N$171,0)</f>
        <v>0</v>
      </c>
      <c r="BJ171" s="6" t="s">
        <v>125</v>
      </c>
      <c r="BK171" s="77">
        <f>ROUND($L$171*$K$171,2)</f>
        <v>0</v>
      </c>
      <c r="BL171" s="6" t="s">
        <v>194</v>
      </c>
    </row>
    <row r="172" spans="2:64" s="6" customFormat="1" ht="27" customHeight="1">
      <c r="B172" s="21"/>
      <c r="C172" s="139" t="s">
        <v>234</v>
      </c>
      <c r="D172" s="139" t="s">
        <v>215</v>
      </c>
      <c r="E172" s="140" t="s">
        <v>235</v>
      </c>
      <c r="F172" s="210" t="s">
        <v>236</v>
      </c>
      <c r="G172" s="211"/>
      <c r="H172" s="211"/>
      <c r="I172" s="211"/>
      <c r="J172" s="141" t="s">
        <v>217</v>
      </c>
      <c r="K172" s="142">
        <v>78</v>
      </c>
      <c r="L172" s="212">
        <v>0</v>
      </c>
      <c r="M172" s="211"/>
      <c r="N172" s="213">
        <f>ROUND($L$172*$K$172,2)</f>
        <v>0</v>
      </c>
      <c r="O172" s="201"/>
      <c r="P172" s="201"/>
      <c r="Q172" s="201"/>
      <c r="R172" s="22"/>
      <c r="T172" s="123"/>
      <c r="U172" s="28" t="s">
        <v>42</v>
      </c>
      <c r="V172" s="124">
        <v>0</v>
      </c>
      <c r="W172" s="124">
        <f>$V$172*$K$172</f>
        <v>0</v>
      </c>
      <c r="X172" s="124">
        <v>0.05</v>
      </c>
      <c r="Y172" s="124">
        <f>$X$172*$K$172</f>
        <v>3.9000000000000004</v>
      </c>
      <c r="Z172" s="124">
        <v>0</v>
      </c>
      <c r="AA172" s="125">
        <f>$Z$172*$K$172</f>
        <v>0</v>
      </c>
      <c r="AR172" s="6" t="s">
        <v>218</v>
      </c>
      <c r="AT172" s="6" t="s">
        <v>215</v>
      </c>
      <c r="AU172" s="6" t="s">
        <v>125</v>
      </c>
      <c r="AY172" s="6" t="s">
        <v>147</v>
      </c>
      <c r="BE172" s="77">
        <f>IF($U$172="základní",$N$172,0)</f>
        <v>0</v>
      </c>
      <c r="BF172" s="77">
        <f>IF($U$172="snížená",$N$172,0)</f>
        <v>0</v>
      </c>
      <c r="BG172" s="77">
        <f>IF($U$172="zákl. přenesená",$N$172,0)</f>
        <v>0</v>
      </c>
      <c r="BH172" s="77">
        <f>IF($U$172="sníž. přenesená",$N$172,0)</f>
        <v>0</v>
      </c>
      <c r="BI172" s="77">
        <f>IF($U$172="nulová",$N$172,0)</f>
        <v>0</v>
      </c>
      <c r="BJ172" s="6" t="s">
        <v>125</v>
      </c>
      <c r="BK172" s="77">
        <f>ROUND($L$172*$K$172,2)</f>
        <v>0</v>
      </c>
      <c r="BL172" s="6" t="s">
        <v>194</v>
      </c>
    </row>
    <row r="173" spans="2:64" s="6" customFormat="1" ht="27" customHeight="1">
      <c r="B173" s="21"/>
      <c r="C173" s="119" t="s">
        <v>237</v>
      </c>
      <c r="D173" s="119" t="s">
        <v>148</v>
      </c>
      <c r="E173" s="120" t="s">
        <v>238</v>
      </c>
      <c r="F173" s="200" t="s">
        <v>239</v>
      </c>
      <c r="G173" s="201"/>
      <c r="H173" s="201"/>
      <c r="I173" s="201"/>
      <c r="J173" s="121" t="s">
        <v>217</v>
      </c>
      <c r="K173" s="122">
        <v>78</v>
      </c>
      <c r="L173" s="202">
        <v>0</v>
      </c>
      <c r="M173" s="201"/>
      <c r="N173" s="203">
        <f>ROUND($L$173*$K$173,2)</f>
        <v>0</v>
      </c>
      <c r="O173" s="201"/>
      <c r="P173" s="201"/>
      <c r="Q173" s="201"/>
      <c r="R173" s="22"/>
      <c r="T173" s="123"/>
      <c r="U173" s="28" t="s">
        <v>42</v>
      </c>
      <c r="V173" s="124">
        <v>0.09</v>
      </c>
      <c r="W173" s="124">
        <f>$V$173*$K$173</f>
        <v>7.02</v>
      </c>
      <c r="X173" s="124">
        <v>0</v>
      </c>
      <c r="Y173" s="124">
        <f>$X$173*$K$173</f>
        <v>0</v>
      </c>
      <c r="Z173" s="124">
        <v>0.028</v>
      </c>
      <c r="AA173" s="125">
        <f>$Z$173*$K$173</f>
        <v>2.184</v>
      </c>
      <c r="AR173" s="6" t="s">
        <v>194</v>
      </c>
      <c r="AT173" s="6" t="s">
        <v>148</v>
      </c>
      <c r="AU173" s="6" t="s">
        <v>125</v>
      </c>
      <c r="AY173" s="6" t="s">
        <v>147</v>
      </c>
      <c r="BE173" s="77">
        <f>IF($U$173="základní",$N$173,0)</f>
        <v>0</v>
      </c>
      <c r="BF173" s="77">
        <f>IF($U$173="snížená",$N$173,0)</f>
        <v>0</v>
      </c>
      <c r="BG173" s="77">
        <f>IF($U$173="zákl. přenesená",$N$173,0)</f>
        <v>0</v>
      </c>
      <c r="BH173" s="77">
        <f>IF($U$173="sníž. přenesená",$N$173,0)</f>
        <v>0</v>
      </c>
      <c r="BI173" s="77">
        <f>IF($U$173="nulová",$N$173,0)</f>
        <v>0</v>
      </c>
      <c r="BJ173" s="6" t="s">
        <v>125</v>
      </c>
      <c r="BK173" s="77">
        <f>ROUND($L$173*$K$173,2)</f>
        <v>0</v>
      </c>
      <c r="BL173" s="6" t="s">
        <v>194</v>
      </c>
    </row>
    <row r="174" spans="2:64" s="6" customFormat="1" ht="15.75" customHeight="1">
      <c r="B174" s="21"/>
      <c r="C174" s="119" t="s">
        <v>240</v>
      </c>
      <c r="D174" s="119" t="s">
        <v>148</v>
      </c>
      <c r="E174" s="120" t="s">
        <v>241</v>
      </c>
      <c r="F174" s="200" t="s">
        <v>242</v>
      </c>
      <c r="G174" s="201"/>
      <c r="H174" s="201"/>
      <c r="I174" s="201"/>
      <c r="J174" s="121" t="s">
        <v>151</v>
      </c>
      <c r="K174" s="122">
        <v>175.5</v>
      </c>
      <c r="L174" s="202">
        <v>0</v>
      </c>
      <c r="M174" s="201"/>
      <c r="N174" s="203">
        <f>ROUND($L$174*$K$174,2)</f>
        <v>0</v>
      </c>
      <c r="O174" s="201"/>
      <c r="P174" s="201"/>
      <c r="Q174" s="201"/>
      <c r="R174" s="22"/>
      <c r="T174" s="123"/>
      <c r="U174" s="28" t="s">
        <v>42</v>
      </c>
      <c r="V174" s="124">
        <v>0.427</v>
      </c>
      <c r="W174" s="124">
        <f>$V$174*$K$174</f>
        <v>74.9385</v>
      </c>
      <c r="X174" s="124">
        <v>0</v>
      </c>
      <c r="Y174" s="124">
        <f>$X$174*$K$174</f>
        <v>0</v>
      </c>
      <c r="Z174" s="124">
        <v>0.0072</v>
      </c>
      <c r="AA174" s="125">
        <f>$Z$174*$K$174</f>
        <v>1.2636</v>
      </c>
      <c r="AR174" s="6" t="s">
        <v>194</v>
      </c>
      <c r="AT174" s="6" t="s">
        <v>148</v>
      </c>
      <c r="AU174" s="6" t="s">
        <v>125</v>
      </c>
      <c r="AY174" s="6" t="s">
        <v>147</v>
      </c>
      <c r="BE174" s="77">
        <f>IF($U$174="základní",$N$174,0)</f>
        <v>0</v>
      </c>
      <c r="BF174" s="77">
        <f>IF($U$174="snížená",$N$174,0)</f>
        <v>0</v>
      </c>
      <c r="BG174" s="77">
        <f>IF($U$174="zákl. přenesená",$N$174,0)</f>
        <v>0</v>
      </c>
      <c r="BH174" s="77">
        <f>IF($U$174="sníž. přenesená",$N$174,0)</f>
        <v>0</v>
      </c>
      <c r="BI174" s="77">
        <f>IF($U$174="nulová",$N$174,0)</f>
        <v>0</v>
      </c>
      <c r="BJ174" s="6" t="s">
        <v>125</v>
      </c>
      <c r="BK174" s="77">
        <f>ROUND($L$174*$K$174,2)</f>
        <v>0</v>
      </c>
      <c r="BL174" s="6" t="s">
        <v>194</v>
      </c>
    </row>
    <row r="175" spans="2:51" s="6" customFormat="1" ht="15.75" customHeight="1">
      <c r="B175" s="126"/>
      <c r="E175" s="127"/>
      <c r="F175" s="204" t="s">
        <v>320</v>
      </c>
      <c r="G175" s="205"/>
      <c r="H175" s="205"/>
      <c r="I175" s="205"/>
      <c r="K175" s="128">
        <v>175.5</v>
      </c>
      <c r="R175" s="129"/>
      <c r="T175" s="130"/>
      <c r="AA175" s="131"/>
      <c r="AT175" s="127" t="s">
        <v>154</v>
      </c>
      <c r="AU175" s="127" t="s">
        <v>125</v>
      </c>
      <c r="AV175" s="127" t="s">
        <v>125</v>
      </c>
      <c r="AW175" s="127" t="s">
        <v>107</v>
      </c>
      <c r="AX175" s="127" t="s">
        <v>17</v>
      </c>
      <c r="AY175" s="127" t="s">
        <v>147</v>
      </c>
    </row>
    <row r="176" spans="2:64" s="6" customFormat="1" ht="27" customHeight="1">
      <c r="B176" s="21"/>
      <c r="C176" s="119" t="s">
        <v>243</v>
      </c>
      <c r="D176" s="119" t="s">
        <v>148</v>
      </c>
      <c r="E176" s="120" t="s">
        <v>244</v>
      </c>
      <c r="F176" s="200" t="s">
        <v>245</v>
      </c>
      <c r="G176" s="201"/>
      <c r="H176" s="201"/>
      <c r="I176" s="201"/>
      <c r="J176" s="121" t="s">
        <v>204</v>
      </c>
      <c r="K176" s="138">
        <v>0</v>
      </c>
      <c r="L176" s="202">
        <v>0</v>
      </c>
      <c r="M176" s="201"/>
      <c r="N176" s="203">
        <f>ROUND($L$176*$K$176,2)</f>
        <v>0</v>
      </c>
      <c r="O176" s="201"/>
      <c r="P176" s="201"/>
      <c r="Q176" s="201"/>
      <c r="R176" s="22"/>
      <c r="T176" s="123"/>
      <c r="U176" s="28" t="s">
        <v>42</v>
      </c>
      <c r="V176" s="124">
        <v>0</v>
      </c>
      <c r="W176" s="124">
        <f>$V$176*$K$176</f>
        <v>0</v>
      </c>
      <c r="X176" s="124">
        <v>0</v>
      </c>
      <c r="Y176" s="124">
        <f>$X$176*$K$176</f>
        <v>0</v>
      </c>
      <c r="Z176" s="124">
        <v>0</v>
      </c>
      <c r="AA176" s="125">
        <f>$Z$176*$K$176</f>
        <v>0</v>
      </c>
      <c r="AR176" s="6" t="s">
        <v>194</v>
      </c>
      <c r="AT176" s="6" t="s">
        <v>148</v>
      </c>
      <c r="AU176" s="6" t="s">
        <v>125</v>
      </c>
      <c r="AY176" s="6" t="s">
        <v>147</v>
      </c>
      <c r="BE176" s="77">
        <f>IF($U$176="základní",$N$176,0)</f>
        <v>0</v>
      </c>
      <c r="BF176" s="77">
        <f>IF($U$176="snížená",$N$176,0)</f>
        <v>0</v>
      </c>
      <c r="BG176" s="77">
        <f>IF($U$176="zákl. přenesená",$N$176,0)</f>
        <v>0</v>
      </c>
      <c r="BH176" s="77">
        <f>IF($U$176="sníž. přenesená",$N$176,0)</f>
        <v>0</v>
      </c>
      <c r="BI176" s="77">
        <f>IF($U$176="nulová",$N$176,0)</f>
        <v>0</v>
      </c>
      <c r="BJ176" s="6" t="s">
        <v>125</v>
      </c>
      <c r="BK176" s="77">
        <f>ROUND($L$176*$K$176,2)</f>
        <v>0</v>
      </c>
      <c r="BL176" s="6" t="s">
        <v>194</v>
      </c>
    </row>
    <row r="177" spans="2:63" s="109" customFormat="1" ht="30.75" customHeight="1">
      <c r="B177" s="110"/>
      <c r="D177" s="118" t="s">
        <v>115</v>
      </c>
      <c r="N177" s="208">
        <f>$BK$177</f>
        <v>0</v>
      </c>
      <c r="O177" s="209"/>
      <c r="P177" s="209"/>
      <c r="Q177" s="209"/>
      <c r="R177" s="113"/>
      <c r="T177" s="114"/>
      <c r="W177" s="115">
        <f>SUM($W$178:$W$181)</f>
        <v>66.92399999999999</v>
      </c>
      <c r="Y177" s="115">
        <f>SUM($Y$178:$Y$181)</f>
        <v>0.1548</v>
      </c>
      <c r="AA177" s="116">
        <f>SUM($AA$178:$AA$181)</f>
        <v>0</v>
      </c>
      <c r="AR177" s="112" t="s">
        <v>125</v>
      </c>
      <c r="AT177" s="112" t="s">
        <v>74</v>
      </c>
      <c r="AU177" s="112" t="s">
        <v>17</v>
      </c>
      <c r="AY177" s="112" t="s">
        <v>147</v>
      </c>
      <c r="BK177" s="117">
        <f>SUM($BK$178:$BK$181)</f>
        <v>0</v>
      </c>
    </row>
    <row r="178" spans="2:64" s="6" customFormat="1" ht="72" customHeight="1">
      <c r="B178" s="21"/>
      <c r="C178" s="119" t="s">
        <v>246</v>
      </c>
      <c r="D178" s="119" t="s">
        <v>148</v>
      </c>
      <c r="E178" s="120" t="s">
        <v>247</v>
      </c>
      <c r="F178" s="214" t="s">
        <v>325</v>
      </c>
      <c r="G178" s="201"/>
      <c r="H178" s="201"/>
      <c r="I178" s="201"/>
      <c r="J178" s="121" t="s">
        <v>151</v>
      </c>
      <c r="K178" s="122">
        <v>257.4</v>
      </c>
      <c r="L178" s="202">
        <v>0</v>
      </c>
      <c r="M178" s="201"/>
      <c r="N178" s="203">
        <f>ROUND($L$178*$K$178,2)</f>
        <v>0</v>
      </c>
      <c r="O178" s="201"/>
      <c r="P178" s="201"/>
      <c r="Q178" s="201"/>
      <c r="R178" s="22"/>
      <c r="T178" s="123"/>
      <c r="U178" s="28" t="s">
        <v>42</v>
      </c>
      <c r="V178" s="124">
        <v>0.26</v>
      </c>
      <c r="W178" s="124">
        <f>$V$178*$K$178</f>
        <v>66.92399999999999</v>
      </c>
      <c r="X178" s="124">
        <v>0</v>
      </c>
      <c r="Y178" s="124">
        <f>$X$178*$K$178</f>
        <v>0</v>
      </c>
      <c r="Z178" s="124">
        <v>0</v>
      </c>
      <c r="AA178" s="125">
        <f>$Z$178*$K$178</f>
        <v>0</v>
      </c>
      <c r="AR178" s="6" t="s">
        <v>194</v>
      </c>
      <c r="AT178" s="6" t="s">
        <v>148</v>
      </c>
      <c r="AU178" s="6" t="s">
        <v>125</v>
      </c>
      <c r="AY178" s="6" t="s">
        <v>147</v>
      </c>
      <c r="BE178" s="77">
        <f>IF($U$178="základní",$N$178,0)</f>
        <v>0</v>
      </c>
      <c r="BF178" s="77">
        <f>IF($U$178="snížená",$N$178,0)</f>
        <v>0</v>
      </c>
      <c r="BG178" s="77">
        <f>IF($U$178="zákl. přenesená",$N$178,0)</f>
        <v>0</v>
      </c>
      <c r="BH178" s="77">
        <f>IF($U$178="sníž. přenesená",$N$178,0)</f>
        <v>0</v>
      </c>
      <c r="BI178" s="77">
        <f>IF($U$178="nulová",$N$178,0)</f>
        <v>0</v>
      </c>
      <c r="BJ178" s="6" t="s">
        <v>125</v>
      </c>
      <c r="BK178" s="77">
        <f>ROUND($L$178*$K$178,2)</f>
        <v>0</v>
      </c>
      <c r="BL178" s="6" t="s">
        <v>194</v>
      </c>
    </row>
    <row r="179" spans="2:51" s="6" customFormat="1" ht="15.75" customHeight="1">
      <c r="B179" s="126"/>
      <c r="E179" s="127"/>
      <c r="F179" s="204" t="s">
        <v>248</v>
      </c>
      <c r="G179" s="205"/>
      <c r="H179" s="205"/>
      <c r="I179" s="205"/>
      <c r="K179" s="128">
        <v>257.4</v>
      </c>
      <c r="R179" s="129"/>
      <c r="T179" s="130"/>
      <c r="AA179" s="131"/>
      <c r="AT179" s="127" t="s">
        <v>154</v>
      </c>
      <c r="AU179" s="127" t="s">
        <v>125</v>
      </c>
      <c r="AV179" s="127" t="s">
        <v>125</v>
      </c>
      <c r="AW179" s="127" t="s">
        <v>107</v>
      </c>
      <c r="AX179" s="127" t="s">
        <v>17</v>
      </c>
      <c r="AY179" s="127" t="s">
        <v>147</v>
      </c>
    </row>
    <row r="180" spans="2:64" s="6" customFormat="1" ht="15.75" customHeight="1">
      <c r="B180" s="21"/>
      <c r="C180" s="139" t="s">
        <v>249</v>
      </c>
      <c r="D180" s="139" t="s">
        <v>215</v>
      </c>
      <c r="E180" s="140" t="s">
        <v>250</v>
      </c>
      <c r="F180" s="210" t="s">
        <v>323</v>
      </c>
      <c r="G180" s="211"/>
      <c r="H180" s="211"/>
      <c r="I180" s="211"/>
      <c r="J180" s="141" t="s">
        <v>217</v>
      </c>
      <c r="K180" s="142">
        <v>258</v>
      </c>
      <c r="L180" s="212">
        <v>0</v>
      </c>
      <c r="M180" s="211"/>
      <c r="N180" s="213">
        <f>ROUND($L$180*$K$180,2)</f>
        <v>0</v>
      </c>
      <c r="O180" s="201"/>
      <c r="P180" s="201"/>
      <c r="Q180" s="201"/>
      <c r="R180" s="22"/>
      <c r="T180" s="123"/>
      <c r="U180" s="28" t="s">
        <v>42</v>
      </c>
      <c r="V180" s="124">
        <v>0</v>
      </c>
      <c r="W180" s="124">
        <f>$V$180*$K$180</f>
        <v>0</v>
      </c>
      <c r="X180" s="124">
        <v>0.0006</v>
      </c>
      <c r="Y180" s="124">
        <f>$X$180*$K$180</f>
        <v>0.1548</v>
      </c>
      <c r="Z180" s="124">
        <v>0</v>
      </c>
      <c r="AA180" s="125">
        <f>$Z$180*$K$180</f>
        <v>0</v>
      </c>
      <c r="AR180" s="6" t="s">
        <v>218</v>
      </c>
      <c r="AT180" s="6" t="s">
        <v>215</v>
      </c>
      <c r="AU180" s="6" t="s">
        <v>125</v>
      </c>
      <c r="AY180" s="6" t="s">
        <v>147</v>
      </c>
      <c r="BE180" s="77">
        <f>IF($U$180="základní",$N$180,0)</f>
        <v>0</v>
      </c>
      <c r="BF180" s="77">
        <f>IF($U$180="snížená",$N$180,0)</f>
        <v>0</v>
      </c>
      <c r="BG180" s="77">
        <f>IF($U$180="zákl. přenesená",$N$180,0)</f>
        <v>0</v>
      </c>
      <c r="BH180" s="77">
        <f>IF($U$180="sníž. přenesená",$N$180,0)</f>
        <v>0</v>
      </c>
      <c r="BI180" s="77">
        <f>IF($U$180="nulová",$N$180,0)</f>
        <v>0</v>
      </c>
      <c r="BJ180" s="6" t="s">
        <v>125</v>
      </c>
      <c r="BK180" s="77">
        <f>ROUND($L$180*$K$180,2)</f>
        <v>0</v>
      </c>
      <c r="BL180" s="6" t="s">
        <v>194</v>
      </c>
    </row>
    <row r="181" spans="2:64" s="6" customFormat="1" ht="27" customHeight="1">
      <c r="B181" s="21"/>
      <c r="C181" s="119" t="s">
        <v>251</v>
      </c>
      <c r="D181" s="119" t="s">
        <v>148</v>
      </c>
      <c r="E181" s="120" t="s">
        <v>252</v>
      </c>
      <c r="F181" s="200" t="s">
        <v>253</v>
      </c>
      <c r="G181" s="201"/>
      <c r="H181" s="201"/>
      <c r="I181" s="201"/>
      <c r="J181" s="121" t="s">
        <v>204</v>
      </c>
      <c r="K181" s="138">
        <v>0</v>
      </c>
      <c r="L181" s="202">
        <v>0</v>
      </c>
      <c r="M181" s="201"/>
      <c r="N181" s="203">
        <f>ROUND($L$181*$K$181,2)</f>
        <v>0</v>
      </c>
      <c r="O181" s="201"/>
      <c r="P181" s="201"/>
      <c r="Q181" s="201"/>
      <c r="R181" s="22"/>
      <c r="T181" s="123"/>
      <c r="U181" s="28" t="s">
        <v>42</v>
      </c>
      <c r="V181" s="124">
        <v>0</v>
      </c>
      <c r="W181" s="124">
        <f>$V$181*$K$181</f>
        <v>0</v>
      </c>
      <c r="X181" s="124">
        <v>0</v>
      </c>
      <c r="Y181" s="124">
        <f>$X$181*$K$181</f>
        <v>0</v>
      </c>
      <c r="Z181" s="124">
        <v>0</v>
      </c>
      <c r="AA181" s="125">
        <f>$Z$181*$K$181</f>
        <v>0</v>
      </c>
      <c r="AR181" s="6" t="s">
        <v>194</v>
      </c>
      <c r="AT181" s="6" t="s">
        <v>148</v>
      </c>
      <c r="AU181" s="6" t="s">
        <v>125</v>
      </c>
      <c r="AY181" s="6" t="s">
        <v>147</v>
      </c>
      <c r="BE181" s="77">
        <f>IF($U$181="základní",$N$181,0)</f>
        <v>0</v>
      </c>
      <c r="BF181" s="77">
        <f>IF($U$181="snížená",$N$181,0)</f>
        <v>0</v>
      </c>
      <c r="BG181" s="77">
        <f>IF($U$181="zákl. přenesená",$N$181,0)</f>
        <v>0</v>
      </c>
      <c r="BH181" s="77">
        <f>IF($U$181="sníž. přenesená",$N$181,0)</f>
        <v>0</v>
      </c>
      <c r="BI181" s="77">
        <f>IF($U$181="nulová",$N$181,0)</f>
        <v>0</v>
      </c>
      <c r="BJ181" s="6" t="s">
        <v>125</v>
      </c>
      <c r="BK181" s="77">
        <f>ROUND($L$181*$K$181,2)</f>
        <v>0</v>
      </c>
      <c r="BL181" s="6" t="s">
        <v>194</v>
      </c>
    </row>
    <row r="182" spans="2:63" s="109" customFormat="1" ht="30.75" customHeight="1">
      <c r="B182" s="110"/>
      <c r="D182" s="118" t="s">
        <v>116</v>
      </c>
      <c r="N182" s="208">
        <f>$BK$182</f>
        <v>0</v>
      </c>
      <c r="O182" s="209"/>
      <c r="P182" s="209"/>
      <c r="Q182" s="209"/>
      <c r="R182" s="113"/>
      <c r="T182" s="114"/>
      <c r="W182" s="115">
        <f>SUM($W$183:$W$190)</f>
        <v>82.4967</v>
      </c>
      <c r="Y182" s="115">
        <f>SUM($Y$183:$Y$190)</f>
        <v>0.43886699999999995</v>
      </c>
      <c r="AA182" s="116">
        <f>SUM($AA$183:$AA$190)</f>
        <v>0.12869999999999998</v>
      </c>
      <c r="AR182" s="112" t="s">
        <v>125</v>
      </c>
      <c r="AT182" s="112" t="s">
        <v>74</v>
      </c>
      <c r="AU182" s="112" t="s">
        <v>17</v>
      </c>
      <c r="AY182" s="112" t="s">
        <v>147</v>
      </c>
      <c r="BK182" s="117">
        <f>SUM($BK$183:$BK$190)</f>
        <v>0</v>
      </c>
    </row>
    <row r="183" spans="2:64" s="6" customFormat="1" ht="27" customHeight="1">
      <c r="B183" s="21"/>
      <c r="C183" s="119" t="s">
        <v>254</v>
      </c>
      <c r="D183" s="119" t="s">
        <v>148</v>
      </c>
      <c r="E183" s="120" t="s">
        <v>255</v>
      </c>
      <c r="F183" s="200" t="s">
        <v>256</v>
      </c>
      <c r="G183" s="201"/>
      <c r="H183" s="201"/>
      <c r="I183" s="201"/>
      <c r="J183" s="121" t="s">
        <v>151</v>
      </c>
      <c r="K183" s="122">
        <v>257.4</v>
      </c>
      <c r="L183" s="202">
        <v>0</v>
      </c>
      <c r="M183" s="201"/>
      <c r="N183" s="203">
        <f>ROUND($L$183*$K$183,2)</f>
        <v>0</v>
      </c>
      <c r="O183" s="201"/>
      <c r="P183" s="201"/>
      <c r="Q183" s="201"/>
      <c r="R183" s="22"/>
      <c r="T183" s="123"/>
      <c r="U183" s="28" t="s">
        <v>42</v>
      </c>
      <c r="V183" s="124">
        <v>0.035</v>
      </c>
      <c r="W183" s="124">
        <f>$V$183*$K$183</f>
        <v>9.009</v>
      </c>
      <c r="X183" s="124">
        <v>0</v>
      </c>
      <c r="Y183" s="124">
        <f>$X$183*$K$183</f>
        <v>0</v>
      </c>
      <c r="Z183" s="124">
        <v>0</v>
      </c>
      <c r="AA183" s="125">
        <f>$Z$183*$K$183</f>
        <v>0</v>
      </c>
      <c r="AR183" s="6" t="s">
        <v>194</v>
      </c>
      <c r="AT183" s="6" t="s">
        <v>148</v>
      </c>
      <c r="AU183" s="6" t="s">
        <v>125</v>
      </c>
      <c r="AY183" s="6" t="s">
        <v>147</v>
      </c>
      <c r="BE183" s="77">
        <f>IF($U$183="základní",$N$183,0)</f>
        <v>0</v>
      </c>
      <c r="BF183" s="77">
        <f>IF($U$183="snížená",$N$183,0)</f>
        <v>0</v>
      </c>
      <c r="BG183" s="77">
        <f>IF($U$183="zákl. přenesená",$N$183,0)</f>
        <v>0</v>
      </c>
      <c r="BH183" s="77">
        <f>IF($U$183="sníž. přenesená",$N$183,0)</f>
        <v>0</v>
      </c>
      <c r="BI183" s="77">
        <f>IF($U$183="nulová",$N$183,0)</f>
        <v>0</v>
      </c>
      <c r="BJ183" s="6" t="s">
        <v>125</v>
      </c>
      <c r="BK183" s="77">
        <f>ROUND($L$183*$K$183,2)</f>
        <v>0</v>
      </c>
      <c r="BL183" s="6" t="s">
        <v>194</v>
      </c>
    </row>
    <row r="184" spans="2:64" s="6" customFormat="1" ht="27" customHeight="1">
      <c r="B184" s="21"/>
      <c r="C184" s="119" t="s">
        <v>257</v>
      </c>
      <c r="D184" s="119" t="s">
        <v>148</v>
      </c>
      <c r="E184" s="120" t="s">
        <v>258</v>
      </c>
      <c r="F184" s="200" t="s">
        <v>259</v>
      </c>
      <c r="G184" s="201"/>
      <c r="H184" s="201"/>
      <c r="I184" s="201"/>
      <c r="J184" s="121" t="s">
        <v>151</v>
      </c>
      <c r="K184" s="122">
        <v>257.4</v>
      </c>
      <c r="L184" s="202">
        <v>0</v>
      </c>
      <c r="M184" s="201"/>
      <c r="N184" s="203">
        <f>ROUND($L$184*$K$184,2)</f>
        <v>0</v>
      </c>
      <c r="O184" s="201"/>
      <c r="P184" s="201"/>
      <c r="Q184" s="201"/>
      <c r="R184" s="22"/>
      <c r="T184" s="123"/>
      <c r="U184" s="28" t="s">
        <v>42</v>
      </c>
      <c r="V184" s="124">
        <v>0.058</v>
      </c>
      <c r="W184" s="124">
        <f>$V$184*$K$184</f>
        <v>14.9292</v>
      </c>
      <c r="X184" s="124">
        <v>2E-05</v>
      </c>
      <c r="Y184" s="124">
        <f>$X$184*$K$184</f>
        <v>0.005148</v>
      </c>
      <c r="Z184" s="124">
        <v>0</v>
      </c>
      <c r="AA184" s="125">
        <f>$Z$184*$K$184</f>
        <v>0</v>
      </c>
      <c r="AR184" s="6" t="s">
        <v>194</v>
      </c>
      <c r="AT184" s="6" t="s">
        <v>148</v>
      </c>
      <c r="AU184" s="6" t="s">
        <v>125</v>
      </c>
      <c r="AY184" s="6" t="s">
        <v>147</v>
      </c>
      <c r="BE184" s="77">
        <f>IF($U$184="základní",$N$184,0)</f>
        <v>0</v>
      </c>
      <c r="BF184" s="77">
        <f>IF($U$184="snížená",$N$184,0)</f>
        <v>0</v>
      </c>
      <c r="BG184" s="77">
        <f>IF($U$184="zákl. přenesená",$N$184,0)</f>
        <v>0</v>
      </c>
      <c r="BH184" s="77">
        <f>IF($U$184="sníž. přenesená",$N$184,0)</f>
        <v>0</v>
      </c>
      <c r="BI184" s="77">
        <f>IF($U$184="nulová",$N$184,0)</f>
        <v>0</v>
      </c>
      <c r="BJ184" s="6" t="s">
        <v>125</v>
      </c>
      <c r="BK184" s="77">
        <f>ROUND($L$184*$K$184,2)</f>
        <v>0</v>
      </c>
      <c r="BL184" s="6" t="s">
        <v>194</v>
      </c>
    </row>
    <row r="185" spans="2:64" s="6" customFormat="1" ht="27" customHeight="1">
      <c r="B185" s="21"/>
      <c r="C185" s="139" t="s">
        <v>260</v>
      </c>
      <c r="D185" s="139" t="s">
        <v>215</v>
      </c>
      <c r="E185" s="140" t="s">
        <v>261</v>
      </c>
      <c r="F185" s="210" t="s">
        <v>262</v>
      </c>
      <c r="G185" s="211"/>
      <c r="H185" s="211"/>
      <c r="I185" s="211"/>
      <c r="J185" s="141" t="s">
        <v>151</v>
      </c>
      <c r="K185" s="142">
        <v>257.4</v>
      </c>
      <c r="L185" s="212">
        <v>0</v>
      </c>
      <c r="M185" s="211"/>
      <c r="N185" s="213">
        <f>ROUND($L$185*$K$185,2)</f>
        <v>0</v>
      </c>
      <c r="O185" s="201"/>
      <c r="P185" s="201"/>
      <c r="Q185" s="201"/>
      <c r="R185" s="22"/>
      <c r="T185" s="123"/>
      <c r="U185" s="28" t="s">
        <v>42</v>
      </c>
      <c r="V185" s="124">
        <v>0</v>
      </c>
      <c r="W185" s="124">
        <f>$V$185*$K$185</f>
        <v>0</v>
      </c>
      <c r="X185" s="124">
        <v>0.0002</v>
      </c>
      <c r="Y185" s="124">
        <f>$X$185*$K$185</f>
        <v>0.05148</v>
      </c>
      <c r="Z185" s="124">
        <v>0</v>
      </c>
      <c r="AA185" s="125">
        <f>$Z$185*$K$185</f>
        <v>0</v>
      </c>
      <c r="AR185" s="6" t="s">
        <v>218</v>
      </c>
      <c r="AT185" s="6" t="s">
        <v>215</v>
      </c>
      <c r="AU185" s="6" t="s">
        <v>125</v>
      </c>
      <c r="AY185" s="6" t="s">
        <v>147</v>
      </c>
      <c r="BE185" s="77">
        <f>IF($U$185="základní",$N$185,0)</f>
        <v>0</v>
      </c>
      <c r="BF185" s="77">
        <f>IF($U$185="snížená",$N$185,0)</f>
        <v>0</v>
      </c>
      <c r="BG185" s="77">
        <f>IF($U$185="zákl. přenesená",$N$185,0)</f>
        <v>0</v>
      </c>
      <c r="BH185" s="77">
        <f>IF($U$185="sníž. přenesená",$N$185,0)</f>
        <v>0</v>
      </c>
      <c r="BI185" s="77">
        <f>IF($U$185="nulová",$N$185,0)</f>
        <v>0</v>
      </c>
      <c r="BJ185" s="6" t="s">
        <v>125</v>
      </c>
      <c r="BK185" s="77">
        <f>ROUND($L$185*$K$185,2)</f>
        <v>0</v>
      </c>
      <c r="BL185" s="6" t="s">
        <v>194</v>
      </c>
    </row>
    <row r="186" spans="2:64" s="6" customFormat="1" ht="27" customHeight="1">
      <c r="B186" s="21"/>
      <c r="C186" s="119" t="s">
        <v>263</v>
      </c>
      <c r="D186" s="119" t="s">
        <v>148</v>
      </c>
      <c r="E186" s="120" t="s">
        <v>264</v>
      </c>
      <c r="F186" s="200" t="s">
        <v>265</v>
      </c>
      <c r="G186" s="201"/>
      <c r="H186" s="201"/>
      <c r="I186" s="201"/>
      <c r="J186" s="121" t="s">
        <v>158</v>
      </c>
      <c r="K186" s="122">
        <v>128.7</v>
      </c>
      <c r="L186" s="202">
        <v>0</v>
      </c>
      <c r="M186" s="201"/>
      <c r="N186" s="203">
        <f>ROUND($L$186*$K$186,2)</f>
        <v>0</v>
      </c>
      <c r="O186" s="201"/>
      <c r="P186" s="201"/>
      <c r="Q186" s="201"/>
      <c r="R186" s="22"/>
      <c r="T186" s="123"/>
      <c r="U186" s="28" t="s">
        <v>42</v>
      </c>
      <c r="V186" s="124">
        <v>0.255</v>
      </c>
      <c r="W186" s="124">
        <f>$V$186*$K$186</f>
        <v>32.8185</v>
      </c>
      <c r="X186" s="124">
        <v>0</v>
      </c>
      <c r="Y186" s="124">
        <f>$X$186*$K$186</f>
        <v>0</v>
      </c>
      <c r="Z186" s="124">
        <v>0.001</v>
      </c>
      <c r="AA186" s="125">
        <f>$Z$186*$K$186</f>
        <v>0.12869999999999998</v>
      </c>
      <c r="AR186" s="6" t="s">
        <v>194</v>
      </c>
      <c r="AT186" s="6" t="s">
        <v>148</v>
      </c>
      <c r="AU186" s="6" t="s">
        <v>125</v>
      </c>
      <c r="AY186" s="6" t="s">
        <v>147</v>
      </c>
      <c r="BE186" s="77">
        <f>IF($U$186="základní",$N$186,0)</f>
        <v>0</v>
      </c>
      <c r="BF186" s="77">
        <f>IF($U$186="snížená",$N$186,0)</f>
        <v>0</v>
      </c>
      <c r="BG186" s="77">
        <f>IF($U$186="zákl. přenesená",$N$186,0)</f>
        <v>0</v>
      </c>
      <c r="BH186" s="77">
        <f>IF($U$186="sníž. přenesená",$N$186,0)</f>
        <v>0</v>
      </c>
      <c r="BI186" s="77">
        <f>IF($U$186="nulová",$N$186,0)</f>
        <v>0</v>
      </c>
      <c r="BJ186" s="6" t="s">
        <v>125</v>
      </c>
      <c r="BK186" s="77">
        <f>ROUND($L$186*$K$186,2)</f>
        <v>0</v>
      </c>
      <c r="BL186" s="6" t="s">
        <v>194</v>
      </c>
    </row>
    <row r="187" spans="2:51" s="6" customFormat="1" ht="15.75" customHeight="1">
      <c r="B187" s="126"/>
      <c r="E187" s="127"/>
      <c r="F187" s="204" t="s">
        <v>266</v>
      </c>
      <c r="G187" s="205"/>
      <c r="H187" s="205"/>
      <c r="I187" s="205"/>
      <c r="K187" s="128">
        <v>128.7</v>
      </c>
      <c r="R187" s="129"/>
      <c r="T187" s="130"/>
      <c r="AA187" s="131"/>
      <c r="AT187" s="127" t="s">
        <v>154</v>
      </c>
      <c r="AU187" s="127" t="s">
        <v>125</v>
      </c>
      <c r="AV187" s="127" t="s">
        <v>125</v>
      </c>
      <c r="AW187" s="127" t="s">
        <v>107</v>
      </c>
      <c r="AX187" s="127" t="s">
        <v>17</v>
      </c>
      <c r="AY187" s="127" t="s">
        <v>147</v>
      </c>
    </row>
    <row r="188" spans="2:64" s="6" customFormat="1" ht="15.75" customHeight="1">
      <c r="B188" s="21"/>
      <c r="C188" s="119" t="s">
        <v>267</v>
      </c>
      <c r="D188" s="119" t="s">
        <v>148</v>
      </c>
      <c r="E188" s="120" t="s">
        <v>268</v>
      </c>
      <c r="F188" s="200" t="s">
        <v>269</v>
      </c>
      <c r="G188" s="201"/>
      <c r="H188" s="201"/>
      <c r="I188" s="201"/>
      <c r="J188" s="121" t="s">
        <v>158</v>
      </c>
      <c r="K188" s="122">
        <v>128.7</v>
      </c>
      <c r="L188" s="202">
        <v>0</v>
      </c>
      <c r="M188" s="201"/>
      <c r="N188" s="203">
        <f>ROUND($L$188*$K$188,2)</f>
        <v>0</v>
      </c>
      <c r="O188" s="201"/>
      <c r="P188" s="201"/>
      <c r="Q188" s="201"/>
      <c r="R188" s="22"/>
      <c r="T188" s="123"/>
      <c r="U188" s="28" t="s">
        <v>42</v>
      </c>
      <c r="V188" s="124">
        <v>0.2</v>
      </c>
      <c r="W188" s="124">
        <f>$V$188*$K$188</f>
        <v>25.74</v>
      </c>
      <c r="X188" s="124">
        <v>0.00027</v>
      </c>
      <c r="Y188" s="124">
        <f>$X$188*$K$188</f>
        <v>0.034748999999999995</v>
      </c>
      <c r="Z188" s="124">
        <v>0</v>
      </c>
      <c r="AA188" s="125">
        <f>$Z$188*$K$188</f>
        <v>0</v>
      </c>
      <c r="AR188" s="6" t="s">
        <v>194</v>
      </c>
      <c r="AT188" s="6" t="s">
        <v>148</v>
      </c>
      <c r="AU188" s="6" t="s">
        <v>125</v>
      </c>
      <c r="AY188" s="6" t="s">
        <v>147</v>
      </c>
      <c r="BE188" s="77">
        <f>IF($U$188="základní",$N$188,0)</f>
        <v>0</v>
      </c>
      <c r="BF188" s="77">
        <f>IF($U$188="snížená",$N$188,0)</f>
        <v>0</v>
      </c>
      <c r="BG188" s="77">
        <f>IF($U$188="zákl. přenesená",$N$188,0)</f>
        <v>0</v>
      </c>
      <c r="BH188" s="77">
        <f>IF($U$188="sníž. přenesená",$N$188,0)</f>
        <v>0</v>
      </c>
      <c r="BI188" s="77">
        <f>IF($U$188="nulová",$N$188,0)</f>
        <v>0</v>
      </c>
      <c r="BJ188" s="6" t="s">
        <v>125</v>
      </c>
      <c r="BK188" s="77">
        <f>ROUND($L$188*$K$188,2)</f>
        <v>0</v>
      </c>
      <c r="BL188" s="6" t="s">
        <v>194</v>
      </c>
    </row>
    <row r="189" spans="2:64" s="6" customFormat="1" ht="15.75" customHeight="1">
      <c r="B189" s="21"/>
      <c r="C189" s="139" t="s">
        <v>270</v>
      </c>
      <c r="D189" s="139" t="s">
        <v>215</v>
      </c>
      <c r="E189" s="140" t="s">
        <v>271</v>
      </c>
      <c r="F189" s="210" t="s">
        <v>272</v>
      </c>
      <c r="G189" s="211"/>
      <c r="H189" s="211"/>
      <c r="I189" s="211"/>
      <c r="J189" s="141" t="s">
        <v>158</v>
      </c>
      <c r="K189" s="142">
        <v>128.7</v>
      </c>
      <c r="L189" s="212">
        <v>0</v>
      </c>
      <c r="M189" s="211"/>
      <c r="N189" s="213">
        <f>ROUND($L$189*$K$189,2)</f>
        <v>0</v>
      </c>
      <c r="O189" s="201"/>
      <c r="P189" s="201"/>
      <c r="Q189" s="201"/>
      <c r="R189" s="22"/>
      <c r="T189" s="123"/>
      <c r="U189" s="28" t="s">
        <v>42</v>
      </c>
      <c r="V189" s="124">
        <v>0</v>
      </c>
      <c r="W189" s="124">
        <f>$V$189*$K$189</f>
        <v>0</v>
      </c>
      <c r="X189" s="124">
        <v>0.0027</v>
      </c>
      <c r="Y189" s="124">
        <f>$X$189*$K$189</f>
        <v>0.34748999999999997</v>
      </c>
      <c r="Z189" s="124">
        <v>0</v>
      </c>
      <c r="AA189" s="125">
        <f>$Z$189*$K$189</f>
        <v>0</v>
      </c>
      <c r="AR189" s="6" t="s">
        <v>218</v>
      </c>
      <c r="AT189" s="6" t="s">
        <v>215</v>
      </c>
      <c r="AU189" s="6" t="s">
        <v>125</v>
      </c>
      <c r="AY189" s="6" t="s">
        <v>147</v>
      </c>
      <c r="BE189" s="77">
        <f>IF($U$189="základní",$N$189,0)</f>
        <v>0</v>
      </c>
      <c r="BF189" s="77">
        <f>IF($U$189="snížená",$N$189,0)</f>
        <v>0</v>
      </c>
      <c r="BG189" s="77">
        <f>IF($U$189="zákl. přenesená",$N$189,0)</f>
        <v>0</v>
      </c>
      <c r="BH189" s="77">
        <f>IF($U$189="sníž. přenesená",$N$189,0)</f>
        <v>0</v>
      </c>
      <c r="BI189" s="77">
        <f>IF($U$189="nulová",$N$189,0)</f>
        <v>0</v>
      </c>
      <c r="BJ189" s="6" t="s">
        <v>125</v>
      </c>
      <c r="BK189" s="77">
        <f>ROUND($L$189*$K$189,2)</f>
        <v>0</v>
      </c>
      <c r="BL189" s="6" t="s">
        <v>194</v>
      </c>
    </row>
    <row r="190" spans="2:64" s="6" customFormat="1" ht="27" customHeight="1">
      <c r="B190" s="21"/>
      <c r="C190" s="119" t="s">
        <v>273</v>
      </c>
      <c r="D190" s="119" t="s">
        <v>148</v>
      </c>
      <c r="E190" s="120" t="s">
        <v>274</v>
      </c>
      <c r="F190" s="200" t="s">
        <v>275</v>
      </c>
      <c r="G190" s="201"/>
      <c r="H190" s="201"/>
      <c r="I190" s="201"/>
      <c r="J190" s="121" t="s">
        <v>204</v>
      </c>
      <c r="K190" s="138">
        <v>0</v>
      </c>
      <c r="L190" s="202">
        <v>0</v>
      </c>
      <c r="M190" s="201"/>
      <c r="N190" s="203">
        <f>ROUND($L$190*$K$190,2)</f>
        <v>0</v>
      </c>
      <c r="O190" s="201"/>
      <c r="P190" s="201"/>
      <c r="Q190" s="201"/>
      <c r="R190" s="22"/>
      <c r="T190" s="123"/>
      <c r="U190" s="28" t="s">
        <v>42</v>
      </c>
      <c r="V190" s="124">
        <v>0</v>
      </c>
      <c r="W190" s="124">
        <f>$V$190*$K$190</f>
        <v>0</v>
      </c>
      <c r="X190" s="124">
        <v>0</v>
      </c>
      <c r="Y190" s="124">
        <f>$X$190*$K$190</f>
        <v>0</v>
      </c>
      <c r="Z190" s="124">
        <v>0</v>
      </c>
      <c r="AA190" s="125">
        <f>$Z$190*$K$190</f>
        <v>0</v>
      </c>
      <c r="AR190" s="6" t="s">
        <v>194</v>
      </c>
      <c r="AT190" s="6" t="s">
        <v>148</v>
      </c>
      <c r="AU190" s="6" t="s">
        <v>125</v>
      </c>
      <c r="AY190" s="6" t="s">
        <v>147</v>
      </c>
      <c r="BE190" s="77">
        <f>IF($U$190="základní",$N$190,0)</f>
        <v>0</v>
      </c>
      <c r="BF190" s="77">
        <f>IF($U$190="snížená",$N$190,0)</f>
        <v>0</v>
      </c>
      <c r="BG190" s="77">
        <f>IF($U$190="zákl. přenesená",$N$190,0)</f>
        <v>0</v>
      </c>
      <c r="BH190" s="77">
        <f>IF($U$190="sníž. přenesená",$N$190,0)</f>
        <v>0</v>
      </c>
      <c r="BI190" s="77">
        <f>IF($U$190="nulová",$N$190,0)</f>
        <v>0</v>
      </c>
      <c r="BJ190" s="6" t="s">
        <v>125</v>
      </c>
      <c r="BK190" s="77">
        <f>ROUND($L$190*$K$190,2)</f>
        <v>0</v>
      </c>
      <c r="BL190" s="6" t="s">
        <v>194</v>
      </c>
    </row>
    <row r="191" spans="2:63" s="109" customFormat="1" ht="30.75" customHeight="1">
      <c r="B191" s="110"/>
      <c r="D191" s="118" t="s">
        <v>117</v>
      </c>
      <c r="N191" s="208">
        <f>$BK$191</f>
        <v>0</v>
      </c>
      <c r="O191" s="209"/>
      <c r="P191" s="209"/>
      <c r="Q191" s="209"/>
      <c r="R191" s="113"/>
      <c r="T191" s="114"/>
      <c r="W191" s="115">
        <f>SUM($W$192:$W$205)</f>
        <v>75.64148800000001</v>
      </c>
      <c r="Y191" s="115">
        <f>SUM($Y$192:$Y$205)</f>
        <v>0.26026000000000005</v>
      </c>
      <c r="AA191" s="116">
        <f>SUM($AA$192:$AA$205)</f>
        <v>0.057629</v>
      </c>
      <c r="AR191" s="112" t="s">
        <v>125</v>
      </c>
      <c r="AT191" s="112" t="s">
        <v>74</v>
      </c>
      <c r="AU191" s="112" t="s">
        <v>17</v>
      </c>
      <c r="AY191" s="112" t="s">
        <v>147</v>
      </c>
      <c r="BK191" s="117">
        <f>SUM($BK$192:$BK$205)</f>
        <v>0</v>
      </c>
    </row>
    <row r="192" spans="2:64" s="6" customFormat="1" ht="15.75" customHeight="1">
      <c r="B192" s="21"/>
      <c r="C192" s="119" t="s">
        <v>276</v>
      </c>
      <c r="D192" s="119" t="s">
        <v>148</v>
      </c>
      <c r="E192" s="120" t="s">
        <v>277</v>
      </c>
      <c r="F192" s="200" t="s">
        <v>278</v>
      </c>
      <c r="G192" s="201"/>
      <c r="H192" s="201"/>
      <c r="I192" s="201"/>
      <c r="J192" s="121" t="s">
        <v>158</v>
      </c>
      <c r="K192" s="122">
        <v>185.9</v>
      </c>
      <c r="L192" s="202">
        <v>0</v>
      </c>
      <c r="M192" s="201"/>
      <c r="N192" s="203">
        <f>ROUND($L$192*$K$192,2)</f>
        <v>0</v>
      </c>
      <c r="O192" s="201"/>
      <c r="P192" s="201"/>
      <c r="Q192" s="201"/>
      <c r="R192" s="22"/>
      <c r="T192" s="123"/>
      <c r="U192" s="28" t="s">
        <v>42</v>
      </c>
      <c r="V192" s="124">
        <v>0.074</v>
      </c>
      <c r="W192" s="124">
        <f>$V$192*$K$192</f>
        <v>13.7566</v>
      </c>
      <c r="X192" s="124">
        <v>0.001</v>
      </c>
      <c r="Y192" s="124">
        <f>$X$192*$K$192</f>
        <v>0.1859</v>
      </c>
      <c r="Z192" s="124">
        <v>0.00031</v>
      </c>
      <c r="AA192" s="125">
        <f>$Z$192*$K$192</f>
        <v>0.057629</v>
      </c>
      <c r="AR192" s="6" t="s">
        <v>194</v>
      </c>
      <c r="AT192" s="6" t="s">
        <v>148</v>
      </c>
      <c r="AU192" s="6" t="s">
        <v>125</v>
      </c>
      <c r="AY192" s="6" t="s">
        <v>147</v>
      </c>
      <c r="BE192" s="77">
        <f>IF($U$192="základní",$N$192,0)</f>
        <v>0</v>
      </c>
      <c r="BF192" s="77">
        <f>IF($U$192="snížená",$N$192,0)</f>
        <v>0</v>
      </c>
      <c r="BG192" s="77">
        <f>IF($U$192="zákl. přenesená",$N$192,0)</f>
        <v>0</v>
      </c>
      <c r="BH192" s="77">
        <f>IF($U$192="sníž. přenesená",$N$192,0)</f>
        <v>0</v>
      </c>
      <c r="BI192" s="77">
        <f>IF($U$192="nulová",$N$192,0)</f>
        <v>0</v>
      </c>
      <c r="BJ192" s="6" t="s">
        <v>125</v>
      </c>
      <c r="BK192" s="77">
        <f>ROUND($L$192*$K$192,2)</f>
        <v>0</v>
      </c>
      <c r="BL192" s="6" t="s">
        <v>194</v>
      </c>
    </row>
    <row r="193" spans="2:51" s="6" customFormat="1" ht="15.75" customHeight="1">
      <c r="B193" s="126"/>
      <c r="E193" s="127"/>
      <c r="F193" s="204" t="s">
        <v>279</v>
      </c>
      <c r="G193" s="205"/>
      <c r="H193" s="205"/>
      <c r="I193" s="205"/>
      <c r="K193" s="128">
        <v>185.9</v>
      </c>
      <c r="R193" s="129"/>
      <c r="T193" s="130"/>
      <c r="AA193" s="131"/>
      <c r="AT193" s="127" t="s">
        <v>154</v>
      </c>
      <c r="AU193" s="127" t="s">
        <v>125</v>
      </c>
      <c r="AV193" s="127" t="s">
        <v>125</v>
      </c>
      <c r="AW193" s="127" t="s">
        <v>107</v>
      </c>
      <c r="AX193" s="127" t="s">
        <v>17</v>
      </c>
      <c r="AY193" s="127" t="s">
        <v>147</v>
      </c>
    </row>
    <row r="194" spans="2:64" s="6" customFormat="1" ht="27" customHeight="1">
      <c r="B194" s="21"/>
      <c r="C194" s="119" t="s">
        <v>280</v>
      </c>
      <c r="D194" s="119" t="s">
        <v>148</v>
      </c>
      <c r="E194" s="120" t="s">
        <v>281</v>
      </c>
      <c r="F194" s="200" t="s">
        <v>282</v>
      </c>
      <c r="G194" s="201"/>
      <c r="H194" s="201"/>
      <c r="I194" s="201"/>
      <c r="J194" s="121" t="s">
        <v>158</v>
      </c>
      <c r="K194" s="122">
        <v>185.9</v>
      </c>
      <c r="L194" s="202">
        <v>0</v>
      </c>
      <c r="M194" s="201"/>
      <c r="N194" s="203">
        <f>ROUND($L$194*$K$194,2)</f>
        <v>0</v>
      </c>
      <c r="O194" s="201"/>
      <c r="P194" s="201"/>
      <c r="Q194" s="201"/>
      <c r="R194" s="22"/>
      <c r="T194" s="123"/>
      <c r="U194" s="28" t="s">
        <v>42</v>
      </c>
      <c r="V194" s="124">
        <v>0.037</v>
      </c>
      <c r="W194" s="124">
        <f>$V$194*$K$194</f>
        <v>6.8783</v>
      </c>
      <c r="X194" s="124">
        <v>0</v>
      </c>
      <c r="Y194" s="124">
        <f>$X$194*$K$194</f>
        <v>0</v>
      </c>
      <c r="Z194" s="124">
        <v>0</v>
      </c>
      <c r="AA194" s="125">
        <f>$Z$194*$K$194</f>
        <v>0</v>
      </c>
      <c r="AR194" s="6" t="s">
        <v>194</v>
      </c>
      <c r="AT194" s="6" t="s">
        <v>148</v>
      </c>
      <c r="AU194" s="6" t="s">
        <v>125</v>
      </c>
      <c r="AY194" s="6" t="s">
        <v>147</v>
      </c>
      <c r="BE194" s="77">
        <f>IF($U$194="základní",$N$194,0)</f>
        <v>0</v>
      </c>
      <c r="BF194" s="77">
        <f>IF($U$194="snížená",$N$194,0)</f>
        <v>0</v>
      </c>
      <c r="BG194" s="77">
        <f>IF($U$194="zákl. přenesená",$N$194,0)</f>
        <v>0</v>
      </c>
      <c r="BH194" s="77">
        <f>IF($U$194="sníž. přenesená",$N$194,0)</f>
        <v>0</v>
      </c>
      <c r="BI194" s="77">
        <f>IF($U$194="nulová",$N$194,0)</f>
        <v>0</v>
      </c>
      <c r="BJ194" s="6" t="s">
        <v>125</v>
      </c>
      <c r="BK194" s="77">
        <f>ROUND($L$194*$K$194,2)</f>
        <v>0</v>
      </c>
      <c r="BL194" s="6" t="s">
        <v>194</v>
      </c>
    </row>
    <row r="195" spans="2:64" s="6" customFormat="1" ht="27" customHeight="1">
      <c r="B195" s="21"/>
      <c r="C195" s="119" t="s">
        <v>283</v>
      </c>
      <c r="D195" s="119" t="s">
        <v>148</v>
      </c>
      <c r="E195" s="120" t="s">
        <v>284</v>
      </c>
      <c r="F195" s="200" t="s">
        <v>285</v>
      </c>
      <c r="G195" s="201"/>
      <c r="H195" s="201"/>
      <c r="I195" s="201"/>
      <c r="J195" s="121" t="s">
        <v>158</v>
      </c>
      <c r="K195" s="122">
        <v>2630.81</v>
      </c>
      <c r="L195" s="202">
        <v>0</v>
      </c>
      <c r="M195" s="201"/>
      <c r="N195" s="203">
        <f>ROUND($L$195*$K$195,2)</f>
        <v>0</v>
      </c>
      <c r="O195" s="201"/>
      <c r="P195" s="201"/>
      <c r="Q195" s="201"/>
      <c r="R195" s="22"/>
      <c r="T195" s="123"/>
      <c r="U195" s="28" t="s">
        <v>42</v>
      </c>
      <c r="V195" s="124">
        <v>0.012</v>
      </c>
      <c r="W195" s="124">
        <f>$V$195*$K$195</f>
        <v>31.56972</v>
      </c>
      <c r="X195" s="124">
        <v>0</v>
      </c>
      <c r="Y195" s="124">
        <f>$X$195*$K$195</f>
        <v>0</v>
      </c>
      <c r="Z195" s="124">
        <v>0</v>
      </c>
      <c r="AA195" s="125">
        <f>$Z$195*$K$195</f>
        <v>0</v>
      </c>
      <c r="AR195" s="6" t="s">
        <v>194</v>
      </c>
      <c r="AT195" s="6" t="s">
        <v>148</v>
      </c>
      <c r="AU195" s="6" t="s">
        <v>125</v>
      </c>
      <c r="AY195" s="6" t="s">
        <v>147</v>
      </c>
      <c r="BE195" s="77">
        <f>IF($U$195="základní",$N$195,0)</f>
        <v>0</v>
      </c>
      <c r="BF195" s="77">
        <f>IF($U$195="snížená",$N$195,0)</f>
        <v>0</v>
      </c>
      <c r="BG195" s="77">
        <f>IF($U$195="zákl. přenesená",$N$195,0)</f>
        <v>0</v>
      </c>
      <c r="BH195" s="77">
        <f>IF($U$195="sníž. přenesená",$N$195,0)</f>
        <v>0</v>
      </c>
      <c r="BI195" s="77">
        <f>IF($U$195="nulová",$N$195,0)</f>
        <v>0</v>
      </c>
      <c r="BJ195" s="6" t="s">
        <v>125</v>
      </c>
      <c r="BK195" s="77">
        <f>ROUND($L$195*$K$195,2)</f>
        <v>0</v>
      </c>
      <c r="BL195" s="6" t="s">
        <v>194</v>
      </c>
    </row>
    <row r="196" spans="2:51" s="6" customFormat="1" ht="39" customHeight="1">
      <c r="B196" s="126"/>
      <c r="E196" s="127"/>
      <c r="F196" s="204" t="s">
        <v>286</v>
      </c>
      <c r="G196" s="205"/>
      <c r="H196" s="205"/>
      <c r="I196" s="205"/>
      <c r="K196" s="128">
        <v>2419.04</v>
      </c>
      <c r="R196" s="129"/>
      <c r="T196" s="130"/>
      <c r="AA196" s="131"/>
      <c r="AT196" s="127" t="s">
        <v>154</v>
      </c>
      <c r="AU196" s="127" t="s">
        <v>125</v>
      </c>
      <c r="AV196" s="127" t="s">
        <v>125</v>
      </c>
      <c r="AW196" s="127" t="s">
        <v>107</v>
      </c>
      <c r="AX196" s="127" t="s">
        <v>75</v>
      </c>
      <c r="AY196" s="127" t="s">
        <v>147</v>
      </c>
    </row>
    <row r="197" spans="2:51" s="6" customFormat="1" ht="15.75" customHeight="1">
      <c r="B197" s="126"/>
      <c r="E197" s="127"/>
      <c r="F197" s="204" t="s">
        <v>287</v>
      </c>
      <c r="G197" s="205"/>
      <c r="H197" s="205"/>
      <c r="I197" s="205"/>
      <c r="K197" s="128">
        <v>211.77</v>
      </c>
      <c r="R197" s="129"/>
      <c r="T197" s="130"/>
      <c r="AA197" s="131"/>
      <c r="AT197" s="127" t="s">
        <v>154</v>
      </c>
      <c r="AU197" s="127" t="s">
        <v>125</v>
      </c>
      <c r="AV197" s="127" t="s">
        <v>125</v>
      </c>
      <c r="AW197" s="127" t="s">
        <v>107</v>
      </c>
      <c r="AX197" s="127" t="s">
        <v>75</v>
      </c>
      <c r="AY197" s="127" t="s">
        <v>147</v>
      </c>
    </row>
    <row r="198" spans="2:51" s="6" customFormat="1" ht="15.75" customHeight="1">
      <c r="B198" s="132"/>
      <c r="E198" s="133"/>
      <c r="F198" s="206" t="s">
        <v>155</v>
      </c>
      <c r="G198" s="207"/>
      <c r="H198" s="207"/>
      <c r="I198" s="207"/>
      <c r="K198" s="134">
        <v>2630.81</v>
      </c>
      <c r="R198" s="135"/>
      <c r="T198" s="136"/>
      <c r="AA198" s="137"/>
      <c r="AT198" s="133" t="s">
        <v>154</v>
      </c>
      <c r="AU198" s="133" t="s">
        <v>125</v>
      </c>
      <c r="AV198" s="133" t="s">
        <v>152</v>
      </c>
      <c r="AW198" s="133" t="s">
        <v>107</v>
      </c>
      <c r="AX198" s="133" t="s">
        <v>17</v>
      </c>
      <c r="AY198" s="133" t="s">
        <v>147</v>
      </c>
    </row>
    <row r="199" spans="2:64" s="6" customFormat="1" ht="27" customHeight="1">
      <c r="B199" s="21"/>
      <c r="C199" s="139" t="s">
        <v>218</v>
      </c>
      <c r="D199" s="139" t="s">
        <v>215</v>
      </c>
      <c r="E199" s="140" t="s">
        <v>288</v>
      </c>
      <c r="F199" s="210" t="s">
        <v>289</v>
      </c>
      <c r="G199" s="211"/>
      <c r="H199" s="211"/>
      <c r="I199" s="211"/>
      <c r="J199" s="141" t="s">
        <v>158</v>
      </c>
      <c r="K199" s="142">
        <v>2761.5</v>
      </c>
      <c r="L199" s="212">
        <v>0</v>
      </c>
      <c r="M199" s="211"/>
      <c r="N199" s="213">
        <f>ROUND($L$199*$K$199,2)</f>
        <v>0</v>
      </c>
      <c r="O199" s="201"/>
      <c r="P199" s="201"/>
      <c r="Q199" s="201"/>
      <c r="R199" s="22"/>
      <c r="T199" s="123"/>
      <c r="U199" s="28" t="s">
        <v>42</v>
      </c>
      <c r="V199" s="124">
        <v>0</v>
      </c>
      <c r="W199" s="124">
        <f>$V$199*$K$199</f>
        <v>0</v>
      </c>
      <c r="X199" s="124">
        <v>0</v>
      </c>
      <c r="Y199" s="124">
        <f>$X$199*$K$199</f>
        <v>0</v>
      </c>
      <c r="Z199" s="124">
        <v>0</v>
      </c>
      <c r="AA199" s="125">
        <f>$Z$199*$K$199</f>
        <v>0</v>
      </c>
      <c r="AR199" s="6" t="s">
        <v>218</v>
      </c>
      <c r="AT199" s="6" t="s">
        <v>215</v>
      </c>
      <c r="AU199" s="6" t="s">
        <v>125</v>
      </c>
      <c r="AY199" s="6" t="s">
        <v>147</v>
      </c>
      <c r="BE199" s="77">
        <f>IF($U$199="základní",$N$199,0)</f>
        <v>0</v>
      </c>
      <c r="BF199" s="77">
        <f>IF($U$199="snížená",$N$199,0)</f>
        <v>0</v>
      </c>
      <c r="BG199" s="77">
        <f>IF($U$199="zákl. přenesená",$N$199,0)</f>
        <v>0</v>
      </c>
      <c r="BH199" s="77">
        <f>IF($U$199="sníž. přenesená",$N$199,0)</f>
        <v>0</v>
      </c>
      <c r="BI199" s="77">
        <f>IF($U$199="nulová",$N$199,0)</f>
        <v>0</v>
      </c>
      <c r="BJ199" s="6" t="s">
        <v>125</v>
      </c>
      <c r="BK199" s="77">
        <f>ROUND($L$199*$K$199,2)</f>
        <v>0</v>
      </c>
      <c r="BL199" s="6" t="s">
        <v>194</v>
      </c>
    </row>
    <row r="200" spans="2:64" s="6" customFormat="1" ht="15.75" customHeight="1">
      <c r="B200" s="21"/>
      <c r="C200" s="119" t="s">
        <v>290</v>
      </c>
      <c r="D200" s="119" t="s">
        <v>148</v>
      </c>
      <c r="E200" s="120" t="s">
        <v>291</v>
      </c>
      <c r="F200" s="200" t="s">
        <v>292</v>
      </c>
      <c r="G200" s="201"/>
      <c r="H200" s="201"/>
      <c r="I200" s="201"/>
      <c r="J200" s="121" t="s">
        <v>158</v>
      </c>
      <c r="K200" s="122">
        <v>965.198</v>
      </c>
      <c r="L200" s="202">
        <v>0</v>
      </c>
      <c r="M200" s="201"/>
      <c r="N200" s="203">
        <f>ROUND($L$200*$K$200,2)</f>
        <v>0</v>
      </c>
      <c r="O200" s="201"/>
      <c r="P200" s="201"/>
      <c r="Q200" s="201"/>
      <c r="R200" s="22"/>
      <c r="T200" s="123"/>
      <c r="U200" s="28" t="s">
        <v>42</v>
      </c>
      <c r="V200" s="124">
        <v>0.016</v>
      </c>
      <c r="W200" s="124">
        <f>$V$200*$K$200</f>
        <v>15.443168</v>
      </c>
      <c r="X200" s="124">
        <v>0</v>
      </c>
      <c r="Y200" s="124">
        <f>$X$200*$K$200</f>
        <v>0</v>
      </c>
      <c r="Z200" s="124">
        <v>0</v>
      </c>
      <c r="AA200" s="125">
        <f>$Z$200*$K$200</f>
        <v>0</v>
      </c>
      <c r="AR200" s="6" t="s">
        <v>194</v>
      </c>
      <c r="AT200" s="6" t="s">
        <v>148</v>
      </c>
      <c r="AU200" s="6" t="s">
        <v>125</v>
      </c>
      <c r="AY200" s="6" t="s">
        <v>147</v>
      </c>
      <c r="BE200" s="77">
        <f>IF($U$200="základní",$N$200,0)</f>
        <v>0</v>
      </c>
      <c r="BF200" s="77">
        <f>IF($U$200="snížená",$N$200,0)</f>
        <v>0</v>
      </c>
      <c r="BG200" s="77">
        <f>IF($U$200="zákl. přenesená",$N$200,0)</f>
        <v>0</v>
      </c>
      <c r="BH200" s="77">
        <f>IF($U$200="sníž. přenesená",$N$200,0)</f>
        <v>0</v>
      </c>
      <c r="BI200" s="77">
        <f>IF($U$200="nulová",$N$200,0)</f>
        <v>0</v>
      </c>
      <c r="BJ200" s="6" t="s">
        <v>125</v>
      </c>
      <c r="BK200" s="77">
        <f>ROUND($L$200*$K$200,2)</f>
        <v>0</v>
      </c>
      <c r="BL200" s="6" t="s">
        <v>194</v>
      </c>
    </row>
    <row r="201" spans="2:51" s="6" customFormat="1" ht="15.75" customHeight="1">
      <c r="B201" s="126"/>
      <c r="E201" s="127"/>
      <c r="F201" s="204" t="s">
        <v>293</v>
      </c>
      <c r="G201" s="205"/>
      <c r="H201" s="205"/>
      <c r="I201" s="205"/>
      <c r="K201" s="128">
        <v>412.022</v>
      </c>
      <c r="R201" s="129"/>
      <c r="T201" s="130"/>
      <c r="AA201" s="131"/>
      <c r="AT201" s="127" t="s">
        <v>154</v>
      </c>
      <c r="AU201" s="127" t="s">
        <v>125</v>
      </c>
      <c r="AV201" s="127" t="s">
        <v>125</v>
      </c>
      <c r="AW201" s="127" t="s">
        <v>107</v>
      </c>
      <c r="AX201" s="127" t="s">
        <v>75</v>
      </c>
      <c r="AY201" s="127" t="s">
        <v>147</v>
      </c>
    </row>
    <row r="202" spans="2:51" s="6" customFormat="1" ht="15.75" customHeight="1">
      <c r="B202" s="126"/>
      <c r="E202" s="127"/>
      <c r="F202" s="204" t="s">
        <v>294</v>
      </c>
      <c r="G202" s="205"/>
      <c r="H202" s="205"/>
      <c r="I202" s="205"/>
      <c r="K202" s="128">
        <v>553.176</v>
      </c>
      <c r="R202" s="129"/>
      <c r="T202" s="130"/>
      <c r="AA202" s="131"/>
      <c r="AT202" s="127" t="s">
        <v>154</v>
      </c>
      <c r="AU202" s="127" t="s">
        <v>125</v>
      </c>
      <c r="AV202" s="127" t="s">
        <v>125</v>
      </c>
      <c r="AW202" s="127" t="s">
        <v>107</v>
      </c>
      <c r="AX202" s="127" t="s">
        <v>75</v>
      </c>
      <c r="AY202" s="127" t="s">
        <v>147</v>
      </c>
    </row>
    <row r="203" spans="2:51" s="6" customFormat="1" ht="15.75" customHeight="1">
      <c r="B203" s="132"/>
      <c r="E203" s="133"/>
      <c r="F203" s="206" t="s">
        <v>155</v>
      </c>
      <c r="G203" s="207"/>
      <c r="H203" s="207"/>
      <c r="I203" s="207"/>
      <c r="K203" s="134">
        <v>965.198</v>
      </c>
      <c r="R203" s="135"/>
      <c r="T203" s="136"/>
      <c r="AA203" s="137"/>
      <c r="AT203" s="133" t="s">
        <v>154</v>
      </c>
      <c r="AU203" s="133" t="s">
        <v>125</v>
      </c>
      <c r="AV203" s="133" t="s">
        <v>152</v>
      </c>
      <c r="AW203" s="133" t="s">
        <v>107</v>
      </c>
      <c r="AX203" s="133" t="s">
        <v>17</v>
      </c>
      <c r="AY203" s="133" t="s">
        <v>147</v>
      </c>
    </row>
    <row r="204" spans="2:64" s="6" customFormat="1" ht="27" customHeight="1">
      <c r="B204" s="21"/>
      <c r="C204" s="139" t="s">
        <v>295</v>
      </c>
      <c r="D204" s="139" t="s">
        <v>215</v>
      </c>
      <c r="E204" s="140" t="s">
        <v>296</v>
      </c>
      <c r="F204" s="210" t="s">
        <v>297</v>
      </c>
      <c r="G204" s="211"/>
      <c r="H204" s="211"/>
      <c r="I204" s="211"/>
      <c r="J204" s="141" t="s">
        <v>158</v>
      </c>
      <c r="K204" s="142">
        <v>1013.25</v>
      </c>
      <c r="L204" s="212">
        <v>0</v>
      </c>
      <c r="M204" s="211"/>
      <c r="N204" s="213">
        <f>ROUND($L$204*$K$204,2)</f>
        <v>0</v>
      </c>
      <c r="O204" s="201"/>
      <c r="P204" s="201"/>
      <c r="Q204" s="201"/>
      <c r="R204" s="22"/>
      <c r="T204" s="123"/>
      <c r="U204" s="28" t="s">
        <v>42</v>
      </c>
      <c r="V204" s="124">
        <v>0</v>
      </c>
      <c r="W204" s="124">
        <f>$V$204*$K$204</f>
        <v>0</v>
      </c>
      <c r="X204" s="124">
        <v>0</v>
      </c>
      <c r="Y204" s="124">
        <f>$X$204*$K$204</f>
        <v>0</v>
      </c>
      <c r="Z204" s="124">
        <v>0</v>
      </c>
      <c r="AA204" s="125">
        <f>$Z$204*$K$204</f>
        <v>0</v>
      </c>
      <c r="AR204" s="6" t="s">
        <v>218</v>
      </c>
      <c r="AT204" s="6" t="s">
        <v>215</v>
      </c>
      <c r="AU204" s="6" t="s">
        <v>125</v>
      </c>
      <c r="AY204" s="6" t="s">
        <v>147</v>
      </c>
      <c r="BE204" s="77">
        <f>IF($U$204="základní",$N$204,0)</f>
        <v>0</v>
      </c>
      <c r="BF204" s="77">
        <f>IF($U$204="snížená",$N$204,0)</f>
        <v>0</v>
      </c>
      <c r="BG204" s="77">
        <f>IF($U$204="zákl. přenesená",$N$204,0)</f>
        <v>0</v>
      </c>
      <c r="BH204" s="77">
        <f>IF($U$204="sníž. přenesená",$N$204,0)</f>
        <v>0</v>
      </c>
      <c r="BI204" s="77">
        <f>IF($U$204="nulová",$N$204,0)</f>
        <v>0</v>
      </c>
      <c r="BJ204" s="6" t="s">
        <v>125</v>
      </c>
      <c r="BK204" s="77">
        <f>ROUND($L$204*$K$204,2)</f>
        <v>0</v>
      </c>
      <c r="BL204" s="6" t="s">
        <v>194</v>
      </c>
    </row>
    <row r="205" spans="2:64" s="6" customFormat="1" ht="27" customHeight="1">
      <c r="B205" s="21"/>
      <c r="C205" s="119" t="s">
        <v>298</v>
      </c>
      <c r="D205" s="119" t="s">
        <v>148</v>
      </c>
      <c r="E205" s="120" t="s">
        <v>299</v>
      </c>
      <c r="F205" s="200" t="s">
        <v>300</v>
      </c>
      <c r="G205" s="201"/>
      <c r="H205" s="201"/>
      <c r="I205" s="201"/>
      <c r="J205" s="121" t="s">
        <v>158</v>
      </c>
      <c r="K205" s="122">
        <v>185.9</v>
      </c>
      <c r="L205" s="202">
        <v>0</v>
      </c>
      <c r="M205" s="201"/>
      <c r="N205" s="203">
        <f>ROUND($L$205*$K$205,2)</f>
        <v>0</v>
      </c>
      <c r="O205" s="201"/>
      <c r="P205" s="201"/>
      <c r="Q205" s="201"/>
      <c r="R205" s="22"/>
      <c r="T205" s="123"/>
      <c r="U205" s="28" t="s">
        <v>42</v>
      </c>
      <c r="V205" s="124">
        <v>0.043</v>
      </c>
      <c r="W205" s="124">
        <f>$V$205*$K$205</f>
        <v>7.9937</v>
      </c>
      <c r="X205" s="124">
        <v>0.0004</v>
      </c>
      <c r="Y205" s="124">
        <f>$X$205*$K$205</f>
        <v>0.07436000000000001</v>
      </c>
      <c r="Z205" s="124">
        <v>0</v>
      </c>
      <c r="AA205" s="125">
        <f>$Z$205*$K$205</f>
        <v>0</v>
      </c>
      <c r="AR205" s="6" t="s">
        <v>194</v>
      </c>
      <c r="AT205" s="6" t="s">
        <v>148</v>
      </c>
      <c r="AU205" s="6" t="s">
        <v>125</v>
      </c>
      <c r="AY205" s="6" t="s">
        <v>147</v>
      </c>
      <c r="BE205" s="77">
        <f>IF($U$205="základní",$N$205,0)</f>
        <v>0</v>
      </c>
      <c r="BF205" s="77">
        <f>IF($U$205="snížená",$N$205,0)</f>
        <v>0</v>
      </c>
      <c r="BG205" s="77">
        <f>IF($U$205="zákl. přenesená",$N$205,0)</f>
        <v>0</v>
      </c>
      <c r="BH205" s="77">
        <f>IF($U$205="sníž. přenesená",$N$205,0)</f>
        <v>0</v>
      </c>
      <c r="BI205" s="77">
        <f>IF($U$205="nulová",$N$205,0)</f>
        <v>0</v>
      </c>
      <c r="BJ205" s="6" t="s">
        <v>125</v>
      </c>
      <c r="BK205" s="77">
        <f>ROUND($L$205*$K$205,2)</f>
        <v>0</v>
      </c>
      <c r="BL205" s="6" t="s">
        <v>194</v>
      </c>
    </row>
    <row r="206" spans="2:63" s="109" customFormat="1" ht="30.75" customHeight="1">
      <c r="B206" s="110"/>
      <c r="D206" s="118" t="s">
        <v>118</v>
      </c>
      <c r="N206" s="208">
        <f>$BK$206</f>
        <v>0</v>
      </c>
      <c r="O206" s="209"/>
      <c r="P206" s="209"/>
      <c r="Q206" s="209"/>
      <c r="R206" s="113"/>
      <c r="T206" s="114"/>
      <c r="W206" s="115">
        <f>SUM($W$207:$W$208)</f>
        <v>43.85999999999999</v>
      </c>
      <c r="Y206" s="115">
        <f>SUM($Y$207:$Y$208)</f>
        <v>0</v>
      </c>
      <c r="AA206" s="116">
        <f>SUM($AA$207:$AA$208)</f>
        <v>0</v>
      </c>
      <c r="AR206" s="112" t="s">
        <v>125</v>
      </c>
      <c r="AT206" s="112" t="s">
        <v>74</v>
      </c>
      <c r="AU206" s="112" t="s">
        <v>17</v>
      </c>
      <c r="AY206" s="112" t="s">
        <v>147</v>
      </c>
      <c r="BK206" s="117">
        <f>SUM($BK$207:$BK$208)</f>
        <v>0</v>
      </c>
    </row>
    <row r="207" spans="2:64" s="6" customFormat="1" ht="71.25" customHeight="1">
      <c r="B207" s="21"/>
      <c r="C207" s="119" t="s">
        <v>301</v>
      </c>
      <c r="D207" s="119" t="s">
        <v>148</v>
      </c>
      <c r="E207" s="120" t="s">
        <v>302</v>
      </c>
      <c r="F207" s="214" t="s">
        <v>324</v>
      </c>
      <c r="G207" s="201"/>
      <c r="H207" s="201"/>
      <c r="I207" s="201"/>
      <c r="J207" s="121" t="s">
        <v>151</v>
      </c>
      <c r="K207" s="122">
        <v>429</v>
      </c>
      <c r="L207" s="202">
        <v>0</v>
      </c>
      <c r="M207" s="201"/>
      <c r="N207" s="203">
        <f>ROUND($L$207*$K$207,2)</f>
        <v>0</v>
      </c>
      <c r="O207" s="201"/>
      <c r="P207" s="201"/>
      <c r="Q207" s="201"/>
      <c r="R207" s="22"/>
      <c r="T207" s="123"/>
      <c r="U207" s="28" t="s">
        <v>42</v>
      </c>
      <c r="V207" s="124">
        <v>0.102</v>
      </c>
      <c r="W207" s="124">
        <f>$V$207*$K$207</f>
        <v>43.757999999999996</v>
      </c>
      <c r="X207" s="124">
        <v>0</v>
      </c>
      <c r="Y207" s="124">
        <f>$X$207*$K$207</f>
        <v>0</v>
      </c>
      <c r="Z207" s="124">
        <v>0</v>
      </c>
      <c r="AA207" s="125">
        <f>$Z$207*$K$207</f>
        <v>0</v>
      </c>
      <c r="AR207" s="6" t="s">
        <v>194</v>
      </c>
      <c r="AT207" s="6" t="s">
        <v>148</v>
      </c>
      <c r="AU207" s="6" t="s">
        <v>125</v>
      </c>
      <c r="AY207" s="6" t="s">
        <v>147</v>
      </c>
      <c r="BE207" s="77">
        <f>IF($U$207="základní",$N$207,0)</f>
        <v>0</v>
      </c>
      <c r="BF207" s="77">
        <f>IF($U$207="snížená",$N$207,0)</f>
        <v>0</v>
      </c>
      <c r="BG207" s="77">
        <f>IF($U$207="zákl. přenesená",$N$207,0)</f>
        <v>0</v>
      </c>
      <c r="BH207" s="77">
        <f>IF($U$207="sníž. přenesená",$N$207,0)</f>
        <v>0</v>
      </c>
      <c r="BI207" s="77">
        <f>IF($U$207="nulová",$N$207,0)</f>
        <v>0</v>
      </c>
      <c r="BJ207" s="6" t="s">
        <v>125</v>
      </c>
      <c r="BK207" s="77">
        <f>ROUND($L$207*$K$207,2)</f>
        <v>0</v>
      </c>
      <c r="BL207" s="6" t="s">
        <v>194</v>
      </c>
    </row>
    <row r="208" spans="2:64" s="6" customFormat="1" ht="27" customHeight="1">
      <c r="B208" s="21"/>
      <c r="C208" s="119" t="s">
        <v>303</v>
      </c>
      <c r="D208" s="119" t="s">
        <v>148</v>
      </c>
      <c r="E208" s="120" t="s">
        <v>304</v>
      </c>
      <c r="F208" s="214" t="s">
        <v>319</v>
      </c>
      <c r="G208" s="201"/>
      <c r="H208" s="201"/>
      <c r="I208" s="201"/>
      <c r="J208" s="121" t="s">
        <v>217</v>
      </c>
      <c r="K208" s="122">
        <v>1</v>
      </c>
      <c r="L208" s="202">
        <v>0</v>
      </c>
      <c r="M208" s="201"/>
      <c r="N208" s="203">
        <f>ROUND($L$208*$K$208,2)</f>
        <v>0</v>
      </c>
      <c r="O208" s="201"/>
      <c r="P208" s="201"/>
      <c r="Q208" s="201"/>
      <c r="R208" s="22"/>
      <c r="T208" s="123"/>
      <c r="U208" s="28" t="s">
        <v>42</v>
      </c>
      <c r="V208" s="124">
        <v>0.102</v>
      </c>
      <c r="W208" s="124">
        <f>$V$208*$K$208</f>
        <v>0.102</v>
      </c>
      <c r="X208" s="124">
        <v>0</v>
      </c>
      <c r="Y208" s="124">
        <f>$X$208*$K$208</f>
        <v>0</v>
      </c>
      <c r="Z208" s="124">
        <v>0</v>
      </c>
      <c r="AA208" s="125">
        <f>$Z$208*$K$208</f>
        <v>0</v>
      </c>
      <c r="AR208" s="6" t="s">
        <v>194</v>
      </c>
      <c r="AT208" s="6" t="s">
        <v>148</v>
      </c>
      <c r="AU208" s="6" t="s">
        <v>125</v>
      </c>
      <c r="AY208" s="6" t="s">
        <v>147</v>
      </c>
      <c r="BE208" s="77">
        <f>IF($U$208="základní",$N$208,0)</f>
        <v>0</v>
      </c>
      <c r="BF208" s="77">
        <f>IF($U$208="snížená",$N$208,0)</f>
        <v>0</v>
      </c>
      <c r="BG208" s="77">
        <f>IF($U$208="zákl. přenesená",$N$208,0)</f>
        <v>0</v>
      </c>
      <c r="BH208" s="77">
        <f>IF($U$208="sníž. přenesená",$N$208,0)</f>
        <v>0</v>
      </c>
      <c r="BI208" s="77">
        <f>IF($U$208="nulová",$N$208,0)</f>
        <v>0</v>
      </c>
      <c r="BJ208" s="6" t="s">
        <v>125</v>
      </c>
      <c r="BK208" s="77">
        <f>ROUND($L$208*$K$208,2)</f>
        <v>0</v>
      </c>
      <c r="BL208" s="6" t="s">
        <v>194</v>
      </c>
    </row>
    <row r="209" spans="2:63" s="109" customFormat="1" ht="37.5" customHeight="1">
      <c r="B209" s="110"/>
      <c r="D209" s="111" t="s">
        <v>119</v>
      </c>
      <c r="N209" s="196">
        <f>$BK$209</f>
        <v>0</v>
      </c>
      <c r="O209" s="209"/>
      <c r="P209" s="209"/>
      <c r="Q209" s="209"/>
      <c r="R209" s="113"/>
      <c r="T209" s="114"/>
      <c r="W209" s="115">
        <f>$W$210</f>
        <v>0</v>
      </c>
      <c r="Y209" s="115">
        <f>$Y$210</f>
        <v>0</v>
      </c>
      <c r="AA209" s="116">
        <f>$AA$210</f>
        <v>0</v>
      </c>
      <c r="AR209" s="112" t="s">
        <v>166</v>
      </c>
      <c r="AT209" s="112" t="s">
        <v>74</v>
      </c>
      <c r="AU209" s="112" t="s">
        <v>75</v>
      </c>
      <c r="AY209" s="112" t="s">
        <v>147</v>
      </c>
      <c r="BK209" s="117">
        <f>$BK$210</f>
        <v>0</v>
      </c>
    </row>
    <row r="210" spans="2:63" s="109" customFormat="1" ht="21" customHeight="1">
      <c r="B210" s="110"/>
      <c r="D210" s="118" t="s">
        <v>120</v>
      </c>
      <c r="N210" s="208">
        <f>$BK$210</f>
        <v>0</v>
      </c>
      <c r="O210" s="209"/>
      <c r="P210" s="209"/>
      <c r="Q210" s="209"/>
      <c r="R210" s="113"/>
      <c r="T210" s="114"/>
      <c r="W210" s="115">
        <f>$W$211</f>
        <v>0</v>
      </c>
      <c r="Y210" s="115">
        <f>$Y$211</f>
        <v>0</v>
      </c>
      <c r="AA210" s="116">
        <f>$AA$211</f>
        <v>0</v>
      </c>
      <c r="AR210" s="112" t="s">
        <v>166</v>
      </c>
      <c r="AT210" s="112" t="s">
        <v>74</v>
      </c>
      <c r="AU210" s="112" t="s">
        <v>17</v>
      </c>
      <c r="AY210" s="112" t="s">
        <v>147</v>
      </c>
      <c r="BK210" s="117">
        <f>$BK$211</f>
        <v>0</v>
      </c>
    </row>
    <row r="211" spans="2:64" s="6" customFormat="1" ht="15.75" customHeight="1">
      <c r="B211" s="21"/>
      <c r="C211" s="119" t="s">
        <v>305</v>
      </c>
      <c r="D211" s="119" t="s">
        <v>148</v>
      </c>
      <c r="E211" s="120" t="s">
        <v>306</v>
      </c>
      <c r="F211" s="200" t="s">
        <v>307</v>
      </c>
      <c r="G211" s="201"/>
      <c r="H211" s="201"/>
      <c r="I211" s="201"/>
      <c r="J211" s="121" t="s">
        <v>308</v>
      </c>
      <c r="K211" s="122">
        <v>1</v>
      </c>
      <c r="L211" s="202">
        <v>0</v>
      </c>
      <c r="M211" s="201"/>
      <c r="N211" s="203">
        <f>ROUND($L$211*$K$211,2)</f>
        <v>0</v>
      </c>
      <c r="O211" s="201"/>
      <c r="P211" s="201"/>
      <c r="Q211" s="201"/>
      <c r="R211" s="22"/>
      <c r="T211" s="123"/>
      <c r="U211" s="28" t="s">
        <v>42</v>
      </c>
      <c r="V211" s="124">
        <v>0</v>
      </c>
      <c r="W211" s="124">
        <f>$V$211*$K$211</f>
        <v>0</v>
      </c>
      <c r="X211" s="124">
        <v>0</v>
      </c>
      <c r="Y211" s="124">
        <f>$X$211*$K$211</f>
        <v>0</v>
      </c>
      <c r="Z211" s="124">
        <v>0</v>
      </c>
      <c r="AA211" s="125">
        <f>$Z$211*$K$211</f>
        <v>0</v>
      </c>
      <c r="AR211" s="6" t="s">
        <v>309</v>
      </c>
      <c r="AT211" s="6" t="s">
        <v>148</v>
      </c>
      <c r="AU211" s="6" t="s">
        <v>125</v>
      </c>
      <c r="AY211" s="6" t="s">
        <v>147</v>
      </c>
      <c r="BE211" s="77">
        <f>IF($U$211="základní",$N$211,0)</f>
        <v>0</v>
      </c>
      <c r="BF211" s="77">
        <f>IF($U$211="snížená",$N$211,0)</f>
        <v>0</v>
      </c>
      <c r="BG211" s="77">
        <f>IF($U$211="zákl. přenesená",$N$211,0)</f>
        <v>0</v>
      </c>
      <c r="BH211" s="77">
        <f>IF($U$211="sníž. přenesená",$N$211,0)</f>
        <v>0</v>
      </c>
      <c r="BI211" s="77">
        <f>IF($U$211="nulová",$N$211,0)</f>
        <v>0</v>
      </c>
      <c r="BJ211" s="6" t="s">
        <v>125</v>
      </c>
      <c r="BK211" s="77">
        <f>ROUND($L$211*$K$211,2)</f>
        <v>0</v>
      </c>
      <c r="BL211" s="6" t="s">
        <v>309</v>
      </c>
    </row>
    <row r="212" spans="2:63" s="6" customFormat="1" ht="51" customHeight="1">
      <c r="B212" s="21"/>
      <c r="D212" s="111" t="s">
        <v>310</v>
      </c>
      <c r="N212" s="196">
        <f>$BK$212</f>
        <v>0</v>
      </c>
      <c r="O212" s="157"/>
      <c r="P212" s="157"/>
      <c r="Q212" s="157"/>
      <c r="R212" s="22"/>
      <c r="T212" s="53"/>
      <c r="AA212" s="54"/>
      <c r="AT212" s="6" t="s">
        <v>74</v>
      </c>
      <c r="AU212" s="6" t="s">
        <v>75</v>
      </c>
      <c r="AY212" s="6" t="s">
        <v>311</v>
      </c>
      <c r="BK212" s="77">
        <f>SUM($BK$213:$BK$217)</f>
        <v>0</v>
      </c>
    </row>
    <row r="213" spans="2:63" s="6" customFormat="1" ht="23.25" customHeight="1">
      <c r="B213" s="21"/>
      <c r="C213" s="143"/>
      <c r="D213" s="143" t="s">
        <v>148</v>
      </c>
      <c r="E213" s="144"/>
      <c r="F213" s="215"/>
      <c r="G213" s="216"/>
      <c r="H213" s="216"/>
      <c r="I213" s="216"/>
      <c r="J213" s="145"/>
      <c r="K213" s="138"/>
      <c r="L213" s="202"/>
      <c r="M213" s="201"/>
      <c r="N213" s="203">
        <f>$BK$213</f>
        <v>0</v>
      </c>
      <c r="O213" s="201"/>
      <c r="P213" s="201"/>
      <c r="Q213" s="201"/>
      <c r="R213" s="22"/>
      <c r="T213" s="123"/>
      <c r="U213" s="146" t="s">
        <v>42</v>
      </c>
      <c r="AA213" s="54"/>
      <c r="AT213" s="6" t="s">
        <v>311</v>
      </c>
      <c r="AU213" s="6" t="s">
        <v>17</v>
      </c>
      <c r="AY213" s="6" t="s">
        <v>311</v>
      </c>
      <c r="BE213" s="77">
        <f>IF($U$213="základní",$N$213,0)</f>
        <v>0</v>
      </c>
      <c r="BF213" s="77">
        <f>IF($U$213="snížená",$N$213,0)</f>
        <v>0</v>
      </c>
      <c r="BG213" s="77">
        <f>IF($U$213="zákl. přenesená",$N$213,0)</f>
        <v>0</v>
      </c>
      <c r="BH213" s="77">
        <f>IF($U$213="sníž. přenesená",$N$213,0)</f>
        <v>0</v>
      </c>
      <c r="BI213" s="77">
        <f>IF($U$213="nulová",$N$213,0)</f>
        <v>0</v>
      </c>
      <c r="BJ213" s="6" t="s">
        <v>125</v>
      </c>
      <c r="BK213" s="77">
        <f>$L$213*$K$213</f>
        <v>0</v>
      </c>
    </row>
    <row r="214" spans="2:63" s="6" customFormat="1" ht="23.25" customHeight="1">
      <c r="B214" s="21"/>
      <c r="C214" s="143"/>
      <c r="D214" s="143" t="s">
        <v>148</v>
      </c>
      <c r="E214" s="144"/>
      <c r="F214" s="215"/>
      <c r="G214" s="216"/>
      <c r="H214" s="216"/>
      <c r="I214" s="216"/>
      <c r="J214" s="145"/>
      <c r="K214" s="138"/>
      <c r="L214" s="202"/>
      <c r="M214" s="201"/>
      <c r="N214" s="203">
        <f>$BK$214</f>
        <v>0</v>
      </c>
      <c r="O214" s="201"/>
      <c r="P214" s="201"/>
      <c r="Q214" s="201"/>
      <c r="R214" s="22"/>
      <c r="T214" s="123"/>
      <c r="U214" s="146" t="s">
        <v>42</v>
      </c>
      <c r="AA214" s="54"/>
      <c r="AT214" s="6" t="s">
        <v>311</v>
      </c>
      <c r="AU214" s="6" t="s">
        <v>17</v>
      </c>
      <c r="AY214" s="6" t="s">
        <v>311</v>
      </c>
      <c r="BE214" s="77">
        <f>IF($U$214="základní",$N$214,0)</f>
        <v>0</v>
      </c>
      <c r="BF214" s="77">
        <f>IF($U$214="snížená",$N$214,0)</f>
        <v>0</v>
      </c>
      <c r="BG214" s="77">
        <f>IF($U$214="zákl. přenesená",$N$214,0)</f>
        <v>0</v>
      </c>
      <c r="BH214" s="77">
        <f>IF($U$214="sníž. přenesená",$N$214,0)</f>
        <v>0</v>
      </c>
      <c r="BI214" s="77">
        <f>IF($U$214="nulová",$N$214,0)</f>
        <v>0</v>
      </c>
      <c r="BJ214" s="6" t="s">
        <v>125</v>
      </c>
      <c r="BK214" s="77">
        <f>$L$214*$K$214</f>
        <v>0</v>
      </c>
    </row>
    <row r="215" spans="2:63" s="6" customFormat="1" ht="23.25" customHeight="1">
      <c r="B215" s="21"/>
      <c r="C215" s="143"/>
      <c r="D215" s="143" t="s">
        <v>148</v>
      </c>
      <c r="E215" s="144"/>
      <c r="F215" s="215"/>
      <c r="G215" s="216"/>
      <c r="H215" s="216"/>
      <c r="I215" s="216"/>
      <c r="J215" s="145"/>
      <c r="K215" s="138"/>
      <c r="L215" s="202"/>
      <c r="M215" s="201"/>
      <c r="N215" s="203">
        <f>$BK$215</f>
        <v>0</v>
      </c>
      <c r="O215" s="201"/>
      <c r="P215" s="201"/>
      <c r="Q215" s="201"/>
      <c r="R215" s="22"/>
      <c r="T215" s="123"/>
      <c r="U215" s="146" t="s">
        <v>42</v>
      </c>
      <c r="AA215" s="54"/>
      <c r="AT215" s="6" t="s">
        <v>311</v>
      </c>
      <c r="AU215" s="6" t="s">
        <v>17</v>
      </c>
      <c r="AY215" s="6" t="s">
        <v>311</v>
      </c>
      <c r="BE215" s="77">
        <f>IF($U$215="základní",$N$215,0)</f>
        <v>0</v>
      </c>
      <c r="BF215" s="77">
        <f>IF($U$215="snížená",$N$215,0)</f>
        <v>0</v>
      </c>
      <c r="BG215" s="77">
        <f>IF($U$215="zákl. přenesená",$N$215,0)</f>
        <v>0</v>
      </c>
      <c r="BH215" s="77">
        <f>IF($U$215="sníž. přenesená",$N$215,0)</f>
        <v>0</v>
      </c>
      <c r="BI215" s="77">
        <f>IF($U$215="nulová",$N$215,0)</f>
        <v>0</v>
      </c>
      <c r="BJ215" s="6" t="s">
        <v>125</v>
      </c>
      <c r="BK215" s="77">
        <f>$L$215*$K$215</f>
        <v>0</v>
      </c>
    </row>
    <row r="216" spans="2:63" s="6" customFormat="1" ht="23.25" customHeight="1">
      <c r="B216" s="21"/>
      <c r="C216" s="143"/>
      <c r="D216" s="143" t="s">
        <v>148</v>
      </c>
      <c r="E216" s="144"/>
      <c r="F216" s="215"/>
      <c r="G216" s="216"/>
      <c r="H216" s="216"/>
      <c r="I216" s="216"/>
      <c r="J216" s="145"/>
      <c r="K216" s="138"/>
      <c r="L216" s="202"/>
      <c r="M216" s="201"/>
      <c r="N216" s="203">
        <f>$BK$216</f>
        <v>0</v>
      </c>
      <c r="O216" s="201"/>
      <c r="P216" s="201"/>
      <c r="Q216" s="201"/>
      <c r="R216" s="22"/>
      <c r="T216" s="123"/>
      <c r="U216" s="146" t="s">
        <v>42</v>
      </c>
      <c r="AA216" s="54"/>
      <c r="AT216" s="6" t="s">
        <v>311</v>
      </c>
      <c r="AU216" s="6" t="s">
        <v>17</v>
      </c>
      <c r="AY216" s="6" t="s">
        <v>311</v>
      </c>
      <c r="BE216" s="77">
        <f>IF($U$216="základní",$N$216,0)</f>
        <v>0</v>
      </c>
      <c r="BF216" s="77">
        <f>IF($U$216="snížená",$N$216,0)</f>
        <v>0</v>
      </c>
      <c r="BG216" s="77">
        <f>IF($U$216="zákl. přenesená",$N$216,0)</f>
        <v>0</v>
      </c>
      <c r="BH216" s="77">
        <f>IF($U$216="sníž. přenesená",$N$216,0)</f>
        <v>0</v>
      </c>
      <c r="BI216" s="77">
        <f>IF($U$216="nulová",$N$216,0)</f>
        <v>0</v>
      </c>
      <c r="BJ216" s="6" t="s">
        <v>125</v>
      </c>
      <c r="BK216" s="77">
        <f>$L$216*$K$216</f>
        <v>0</v>
      </c>
    </row>
    <row r="217" spans="2:63" s="6" customFormat="1" ht="23.25" customHeight="1">
      <c r="B217" s="21"/>
      <c r="C217" s="143"/>
      <c r="D217" s="143" t="s">
        <v>148</v>
      </c>
      <c r="E217" s="144"/>
      <c r="F217" s="215"/>
      <c r="G217" s="216"/>
      <c r="H217" s="216"/>
      <c r="I217" s="216"/>
      <c r="J217" s="145"/>
      <c r="K217" s="138"/>
      <c r="L217" s="202"/>
      <c r="M217" s="201"/>
      <c r="N217" s="203">
        <f>$BK$217</f>
        <v>0</v>
      </c>
      <c r="O217" s="201"/>
      <c r="P217" s="201"/>
      <c r="Q217" s="201"/>
      <c r="R217" s="22"/>
      <c r="T217" s="123"/>
      <c r="U217" s="146" t="s">
        <v>42</v>
      </c>
      <c r="V217" s="40"/>
      <c r="W217" s="40"/>
      <c r="X217" s="40"/>
      <c r="Y217" s="40"/>
      <c r="Z217" s="40"/>
      <c r="AA217" s="42"/>
      <c r="AT217" s="6" t="s">
        <v>311</v>
      </c>
      <c r="AU217" s="6" t="s">
        <v>17</v>
      </c>
      <c r="AY217" s="6" t="s">
        <v>311</v>
      </c>
      <c r="BE217" s="77">
        <f>IF($U$217="základní",$N$217,0)</f>
        <v>0</v>
      </c>
      <c r="BF217" s="77">
        <f>IF($U$217="snížená",$N$217,0)</f>
        <v>0</v>
      </c>
      <c r="BG217" s="77">
        <f>IF($U$217="zákl. přenesená",$N$217,0)</f>
        <v>0</v>
      </c>
      <c r="BH217" s="77">
        <f>IF($U$217="sníž. přenesená",$N$217,0)</f>
        <v>0</v>
      </c>
      <c r="BI217" s="77">
        <f>IF($U$217="nulová",$N$217,0)</f>
        <v>0</v>
      </c>
      <c r="BJ217" s="6" t="s">
        <v>125</v>
      </c>
      <c r="BK217" s="77">
        <f>$L$217*$K$217</f>
        <v>0</v>
      </c>
    </row>
    <row r="218" spans="2:18" s="6" customFormat="1" ht="7.5" customHeight="1">
      <c r="B218" s="43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5"/>
    </row>
    <row r="219" s="2" customFormat="1" ht="14.25" customHeight="1"/>
  </sheetData>
  <sheetProtection/>
  <mergeCells count="269">
    <mergeCell ref="N212:Q212"/>
    <mergeCell ref="H1:K1"/>
    <mergeCell ref="S2:AC2"/>
    <mergeCell ref="N177:Q177"/>
    <mergeCell ref="N182:Q182"/>
    <mergeCell ref="N191:Q191"/>
    <mergeCell ref="N206:Q206"/>
    <mergeCell ref="N209:Q209"/>
    <mergeCell ref="N210:Q210"/>
    <mergeCell ref="F208:I208"/>
    <mergeCell ref="F217:I217"/>
    <mergeCell ref="L217:M217"/>
    <mergeCell ref="N217:Q217"/>
    <mergeCell ref="N127:Q127"/>
    <mergeCell ref="N128:Q128"/>
    <mergeCell ref="N129:Q129"/>
    <mergeCell ref="N133:Q133"/>
    <mergeCell ref="N145:Q145"/>
    <mergeCell ref="N153:Q153"/>
    <mergeCell ref="N154:Q154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L208:M208"/>
    <mergeCell ref="N208:Q208"/>
    <mergeCell ref="F211:I211"/>
    <mergeCell ref="L211:M211"/>
    <mergeCell ref="N211:Q211"/>
    <mergeCell ref="F205:I205"/>
    <mergeCell ref="L205:M205"/>
    <mergeCell ref="N205:Q205"/>
    <mergeCell ref="F207:I207"/>
    <mergeCell ref="L207:M207"/>
    <mergeCell ref="N207:Q207"/>
    <mergeCell ref="F201:I201"/>
    <mergeCell ref="F202:I202"/>
    <mergeCell ref="F203:I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F197:I197"/>
    <mergeCell ref="F198:I198"/>
    <mergeCell ref="F192:I192"/>
    <mergeCell ref="L192:M192"/>
    <mergeCell ref="N192:Q192"/>
    <mergeCell ref="F193:I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86:I186"/>
    <mergeCell ref="L186:M186"/>
    <mergeCell ref="N186:Q186"/>
    <mergeCell ref="F187:I187"/>
    <mergeCell ref="F188:I188"/>
    <mergeCell ref="L188:M188"/>
    <mergeCell ref="N188:Q188"/>
    <mergeCell ref="F184:I184"/>
    <mergeCell ref="L184:M184"/>
    <mergeCell ref="N184:Q184"/>
    <mergeCell ref="F185:I185"/>
    <mergeCell ref="L185:M185"/>
    <mergeCell ref="N185:Q185"/>
    <mergeCell ref="F181:I181"/>
    <mergeCell ref="L181:M181"/>
    <mergeCell ref="N181:Q181"/>
    <mergeCell ref="F183:I183"/>
    <mergeCell ref="L183:M183"/>
    <mergeCell ref="N183:Q183"/>
    <mergeCell ref="F178:I178"/>
    <mergeCell ref="L178:M178"/>
    <mergeCell ref="N178:Q178"/>
    <mergeCell ref="F179:I179"/>
    <mergeCell ref="F180:I180"/>
    <mergeCell ref="L180:M180"/>
    <mergeCell ref="N180:Q180"/>
    <mergeCell ref="F174:I174"/>
    <mergeCell ref="L174:M174"/>
    <mergeCell ref="N174:Q174"/>
    <mergeCell ref="F175:I175"/>
    <mergeCell ref="F176:I176"/>
    <mergeCell ref="L176:M176"/>
    <mergeCell ref="N176:Q176"/>
    <mergeCell ref="F172:I172"/>
    <mergeCell ref="L172:M172"/>
    <mergeCell ref="N172:Q172"/>
    <mergeCell ref="F173:I173"/>
    <mergeCell ref="L173:M173"/>
    <mergeCell ref="N173:Q173"/>
    <mergeCell ref="F169:I169"/>
    <mergeCell ref="F170:I170"/>
    <mergeCell ref="L170:M170"/>
    <mergeCell ref="N170:Q170"/>
    <mergeCell ref="F171:I171"/>
    <mergeCell ref="L171:M171"/>
    <mergeCell ref="N171:Q171"/>
    <mergeCell ref="F167:I167"/>
    <mergeCell ref="L167:M167"/>
    <mergeCell ref="N167:Q167"/>
    <mergeCell ref="F168:I168"/>
    <mergeCell ref="L168:M168"/>
    <mergeCell ref="N168:Q168"/>
    <mergeCell ref="F164:I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F163:I163"/>
    <mergeCell ref="L163:M163"/>
    <mergeCell ref="N163:Q163"/>
    <mergeCell ref="F156:I156"/>
    <mergeCell ref="F157:I157"/>
    <mergeCell ref="F158:I158"/>
    <mergeCell ref="L158:M158"/>
    <mergeCell ref="N158:Q158"/>
    <mergeCell ref="F160:I160"/>
    <mergeCell ref="L160:M160"/>
    <mergeCell ref="N160:Q160"/>
    <mergeCell ref="N159:Q159"/>
    <mergeCell ref="F152:I152"/>
    <mergeCell ref="L152:M152"/>
    <mergeCell ref="N152:Q152"/>
    <mergeCell ref="F155:I155"/>
    <mergeCell ref="L155:M155"/>
    <mergeCell ref="N155:Q155"/>
    <mergeCell ref="F149:I149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F148:I148"/>
    <mergeCell ref="L148:M148"/>
    <mergeCell ref="N148:Q148"/>
    <mergeCell ref="F142:I142"/>
    <mergeCell ref="F143:I143"/>
    <mergeCell ref="L143:M143"/>
    <mergeCell ref="N143:Q143"/>
    <mergeCell ref="F144:I144"/>
    <mergeCell ref="F146:I146"/>
    <mergeCell ref="L146:M146"/>
    <mergeCell ref="N146:Q146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1:I131"/>
    <mergeCell ref="F132:I132"/>
    <mergeCell ref="F134:I134"/>
    <mergeCell ref="L134:M134"/>
    <mergeCell ref="N134:Q134"/>
    <mergeCell ref="F135:I135"/>
    <mergeCell ref="M124:Q124"/>
    <mergeCell ref="F126:I126"/>
    <mergeCell ref="L126:M126"/>
    <mergeCell ref="N126:Q126"/>
    <mergeCell ref="F130:I130"/>
    <mergeCell ref="L130:M130"/>
    <mergeCell ref="N130:Q130"/>
    <mergeCell ref="N109:Q109"/>
    <mergeCell ref="L111:Q111"/>
    <mergeCell ref="C117:Q117"/>
    <mergeCell ref="F119:P119"/>
    <mergeCell ref="M121:P121"/>
    <mergeCell ref="M123:Q123"/>
    <mergeCell ref="D106:H106"/>
    <mergeCell ref="N106:Q106"/>
    <mergeCell ref="D107:H107"/>
    <mergeCell ref="N107:Q107"/>
    <mergeCell ref="D108:H108"/>
    <mergeCell ref="N108:Q108"/>
    <mergeCell ref="N101:Q101"/>
    <mergeCell ref="N103:Q103"/>
    <mergeCell ref="D104:H104"/>
    <mergeCell ref="N104:Q104"/>
    <mergeCell ref="D105:H105"/>
    <mergeCell ref="N105:Q105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2:J32"/>
    <mergeCell ref="M32:P32"/>
    <mergeCell ref="L34:P34"/>
    <mergeCell ref="C76:Q76"/>
    <mergeCell ref="F78:P78"/>
    <mergeCell ref="M80:P80"/>
    <mergeCell ref="H29:J29"/>
    <mergeCell ref="M29:P29"/>
    <mergeCell ref="H30:J30"/>
    <mergeCell ref="M30:P30"/>
    <mergeCell ref="H31:J31"/>
    <mergeCell ref="M31:P31"/>
    <mergeCell ref="O20:P20"/>
    <mergeCell ref="M23:P23"/>
    <mergeCell ref="M24:P24"/>
    <mergeCell ref="M26:P26"/>
    <mergeCell ref="H28:J28"/>
    <mergeCell ref="M28:P28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dataValidations count="2">
    <dataValidation type="list" allowBlank="1" showInputMessage="1" showErrorMessage="1" error="Povoleny jsou hodnoty K a M." sqref="D213:D218">
      <formula1>"K,M"</formula1>
    </dataValidation>
    <dataValidation type="list" allowBlank="1" showInputMessage="1" showErrorMessage="1" error="Povoleny jsou hodnoty základní, snížená, zákl. přenesená, sníž. přenesená, nulová." sqref="U213:U21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Kadleček</cp:lastModifiedBy>
  <cp:lastPrinted>2013-05-15T07:53:16Z</cp:lastPrinted>
  <dcterms:modified xsi:type="dcterms:W3CDTF">2013-05-15T07:53:21Z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